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Т-пит'!$234:$235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Т-пит'!$236:$237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тарифов'!$79:$153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тарифов'!$155:$169</definedName>
    <definedName name="BLOCK_PT_VOTV">'Перечень тарифов'!$171:$185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тарифов'!$Z$12:$Z$187</definedName>
    <definedName name="DIFFERENTIATION_TARIFF_VD_ID">'Перечень тарифов'!$AB$12:$AB$187</definedName>
    <definedName name="DIFFERENTIATION_TARIFF_VTAR_ID">'Перечень тарифов'!$AA$12:$AA$187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Т-пит'!$T$233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Т-тех'!$BE$37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тарифов'!$AL$12:$AL$187</definedName>
    <definedName name="PT_DIFFERENTIATION_CS_ID">'Перечень тарифов'!$AF$12:$AF$187</definedName>
    <definedName name="PT_DIFFERENTIATION_IST_TE">'Перечень тарифов'!$AM$12:$AM$187</definedName>
    <definedName name="PT_DIFFERENTIATION_IST_TE_ID">'Перечень тарифов'!$AG$12:$AG$187</definedName>
    <definedName name="PT_DIFFERENTIATION_NTAR">'Перечень тарифов'!$AJ$12:$AJ$187</definedName>
    <definedName name="PT_DIFFERENTIATION_NTAR_ID">'Перечень тарифов'!$AD$12:$AD$187</definedName>
    <definedName name="PT_DIFFERENTIATION_NUM_CS">'Перечень тарифов'!$AP$12:$AP$187</definedName>
    <definedName name="PT_DIFFERENTIATION_NUM_IST_TE">'Перечень тарифов'!$AQ$12:$AQ$187</definedName>
    <definedName name="PT_DIFFERENTIATION_NUM_NTAR">'Перечень тарифов'!$AN$12:$AN$187</definedName>
    <definedName name="PT_DIFFERENTIATION_NUM_TER">'Перечень тарифов'!$AO$12:$AO$187</definedName>
    <definedName name="PT_DIFFERENTIATION_TER">'Перечень тарифов'!$AK$12:$AK$187</definedName>
    <definedName name="PT_DIFFERENTIATION_TER_ID">'Перечень тарифов'!$AE$12:$AE$187</definedName>
    <definedName name="PT_DIFFERENTIATION_VDET">'Перечень тарифов'!$AI$12:$AI$187</definedName>
    <definedName name="PT_DIFFERENTIATION_VTAR">'Перечень тарифов'!$AH$12:$AH$187</definedName>
    <definedName name="PT_DIFFERENTIATION_VTAR_ID">'Перечень тарифов'!$AC$12:$AC$187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Т-пит'!$41:$232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Т-пит'!$42:$83</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Т-пит'!$BL$234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Т-тех'!$BE$54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pt_ter_30">'ХВС. Т-пит'!$84:$101</definedName>
    <definedName name="pt_cs_31">'ХВС. Т-пит'!$85:$92</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pt_cs_32">'ХВС. Т-пит'!$51:$58</definedName>
    <definedName name="pt_cs_33">'ХВС. Т-пит'!$59:$66</definedName>
    <definedName name="pt_cs_34">'ХВС. Т-пит'!$67:$74</definedName>
    <definedName name="pt_cs_35">'ХВС. Т-пит'!$75:$82</definedName>
    <definedName name="pt_cs_36">'ХВС. Т-пит'!$93:$100</definedName>
    <definedName name="pt_ter_31">'ХВС. Т-пит'!$102:$111</definedName>
    <definedName name="pt_cs_37">'ХВС. Т-пит'!$103:$110</definedName>
    <definedName name="pt_ter_32">'ХВС. Т-пит'!$112:$121</definedName>
    <definedName name="pt_cs_38">'ХВС. Т-пит'!$113:$120</definedName>
    <definedName name="pt_ter_33">'ХВС. Т-пит'!$122:$131</definedName>
    <definedName name="pt_cs_39">'ХВС. Т-пит'!$123:$130</definedName>
    <definedName name="pt_ter_34">'ХВС. Т-пит'!$132:$141</definedName>
    <definedName name="pt_cs_40">'ХВС. Т-пит'!$133:$140</definedName>
    <definedName name="pt_ter_35">'ХВС. Т-пит'!$142:$151</definedName>
    <definedName name="pt_cs_41">'ХВС. Т-пит'!$143:$150</definedName>
    <definedName name="pt_ter_36">'ХВС. Т-пит'!$152:$169</definedName>
    <definedName name="pt_cs_42">'ХВС. Т-пит'!$153:$160</definedName>
    <definedName name="pt_cs_43">'ХВС. Т-пит'!$161:$168</definedName>
    <definedName name="pt_ter_37">'ХВС. Т-пит'!$170:$187</definedName>
    <definedName name="pt_cs_44">'ХВС. Т-пит'!$171:$178</definedName>
    <definedName name="pt_cs_45">'ХВС. Т-пит'!$179:$186</definedName>
    <definedName name="pt_ter_38">'ХВС. Т-пит'!$188:$221</definedName>
    <definedName name="pt_cs_46">'ХВС. Т-пит'!$189:$196</definedName>
    <definedName name="pt_cs_47">'ХВС. Т-пит'!$197:$204</definedName>
    <definedName name="pt_cs_48">'ХВС. Т-пит'!$205:$212</definedName>
    <definedName name="pt_ter_39">'ХВС. Т-пит'!$222:$231</definedName>
    <definedName name="pt_cs_49">'ХВС. Т-пит'!$223:$230</definedName>
    <definedName name="pt_cs_50">'ХВС. Т-пит'!$213:$220</definedName>
    <definedName name="DESCRIPTION_TERRITORY">REESTR_DS!$B$2:$B$12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<sst xmlns="http://schemas.openxmlformats.org/spreadsheetml/2006/main" count="15693" uniqueCount="3746">
  <si>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</si>
  <si>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</si>
  <si>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</si>
  <si>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</si>
  <si>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</si>
  <si>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</si>
  <si>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</si>
  <si>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</si>
  <si>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</si>
  <si>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</si>
  <si>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</si>
  <si>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</si>
  <si>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</si>
  <si>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30427809</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</si>
  <si>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</si>
  <si>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</si>
  <si>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</si>
  <si>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</si>
  <si>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</si>
  <si>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</si>
  <si>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</si>
  <si>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</si>
  <si>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</si>
  <si>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</si>
  <si>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</si>
  <si>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</si>
  <si>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</si>
  <si>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</si>
  <si>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</si>
  <si>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</si>
  <si>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</si>
  <si>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</si>
  <si>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</si>
  <si>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</si>
  <si>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</si>
  <si>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</si>
  <si>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</si>
  <si>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</si>
  <si>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</si>
  <si>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</si>
  <si>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</si>
  <si>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27-2228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</si>
  <si>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</si>
  <si>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</si>
  <si>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</si>
  <si>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27-2139</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</si>
  <si>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</si>
  <si>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</si>
  <si>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</si>
  <si>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</si>
  <si>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</si>
  <si>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</si>
  <si>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250202002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</si>
  <si>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</si>
  <si>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</si>
  <si>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</si>
  <si>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</si>
  <si>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</si>
  <si>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</si>
  <si>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</si>
  <si>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</si>
  <si>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</si>
  <si>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</si>
  <si>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</si>
  <si>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</si>
  <si>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</si>
  <si>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</si>
  <si>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</si>
  <si>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</si>
  <si>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</si>
  <si>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</si>
  <si>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</si>
  <si>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</si>
  <si>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</si>
  <si>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</si>
  <si>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</si>
  <si>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</si>
  <si>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</si>
  <si>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</si>
  <si>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</si>
  <si>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</si>
  <si>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</si>
  <si>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</si>
  <si>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</si>
  <si>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</si>
  <si>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</si>
  <si>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</si>
  <si>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</si>
  <si>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</si>
  <si>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</si>
  <si>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</si>
  <si>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</si>
  <si>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</si>
  <si>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</si>
  <si>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</si>
  <si>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</si>
  <si>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</si>
  <si>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</si>
  <si>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</si>
  <si>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</si>
  <si>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</si>
  <si>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</si>
  <si>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</si>
  <si>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</si>
  <si>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</si>
  <si>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</si>
  <si>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89</t>
  </si>
  <si>
    <t>Шкотовский муниципальный округ</t>
  </si>
  <si>
    <t>05557000</t>
  </si>
  <si>
    <t>ter_51</t>
  </si>
  <si>
    <t>Дальнереченский городской округ</t>
  </si>
  <si>
    <t>05708000</t>
  </si>
  <si>
    <t>ter_511</t>
  </si>
  <si>
    <t>25</t>
  </si>
  <si>
    <t>Красноармейский муниципальный округ</t>
  </si>
  <si>
    <t>05514000</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</si>
  <si>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</si>
  <si>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</si>
  <si>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</si>
  <si>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</si>
  <si>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</si>
  <si>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</si>
  <si>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</si>
  <si>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</si>
  <si>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</si>
  <si>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</si>
  <si>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</si>
  <si>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</si>
  <si>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</si>
  <si>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</si>
  <si>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</si>
  <si>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</si>
  <si>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</si>
  <si>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</si>
  <si>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</si>
  <si>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</si>
  <si>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</si>
  <si>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</si>
  <si>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</si>
  <si>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</si>
  <si>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80</t>
  </si>
  <si>
    <t>Черниговский муниципальный округ</t>
  </si>
  <si>
    <t>05553000</t>
  </si>
  <si>
    <t>11</t>
  </si>
  <si>
    <t>ter_5111111111</t>
  </si>
  <si>
    <t>1</t>
  </si>
  <si>
    <t>Анучинский муниципальный округ</t>
  </si>
  <si>
    <t>05502000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</si>
  <si>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</si>
  <si>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</si>
  <si>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</si>
  <si>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</si>
  <si>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</si>
  <si>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</si>
  <si>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</si>
  <si>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</si>
  <si>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</si>
  <si>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</si>
  <si>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</si>
  <si>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</si>
  <si>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</si>
  <si>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</si>
  <si>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</si>
  <si>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</si>
  <si>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</si>
  <si>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</si>
  <si>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</si>
  <si>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</si>
  <si>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</si>
  <si>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</si>
  <si>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</si>
  <si>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</si>
  <si>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</si>
  <si>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</si>
  <si>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</si>
  <si>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</si>
  <si>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</si>
  <si>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</si>
  <si>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</si>
  <si>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</si>
  <si>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</si>
  <si>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</si>
  <si>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</si>
  <si>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</si>
  <si>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</si>
  <si>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</si>
  <si>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</si>
  <si>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</si>
  <si>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</si>
  <si>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</si>
  <si>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</si>
  <si>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</si>
  <si>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</si>
  <si>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</si>
  <si>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</si>
  <si>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</si>
  <si>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</si>
  <si>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</si>
  <si>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</si>
  <si>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</si>
  <si>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</si>
  <si>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</si>
  <si>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</si>
  <si>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</si>
  <si>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</si>
  <si>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</si>
  <si>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</si>
  <si>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</si>
  <si>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</si>
  <si>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</si>
  <si>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</si>
  <si>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</si>
  <si>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</si>
  <si>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</si>
  <si>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</si>
  <si>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</si>
  <si>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</si>
  <si>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</si>
  <si>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</si>
  <si>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</si>
  <si>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</si>
  <si>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</si>
  <si>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</si>
  <si>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</si>
  <si>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</si>
  <si>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</si>
  <si>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</si>
  <si>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</si>
  <si>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</si>
  <si>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</si>
  <si>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</si>
  <si>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</si>
  <si>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</si>
  <si>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</si>
  <si>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</si>
  <si>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</si>
  <si>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</si>
  <si>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</si>
  <si>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</si>
  <si>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</si>
  <si>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</si>
  <si>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</si>
  <si>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</si>
  <si>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</si>
  <si>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</si>
  <si>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</si>
  <si>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</si>
  <si>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</si>
  <si>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</si>
  <si>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</si>
  <si>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</si>
  <si>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</si>
  <si>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</si>
  <si>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</si>
  <si>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</si>
  <si>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</si>
  <si>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</si>
  <si>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</si>
  <si>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</si>
  <si>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</si>
  <si>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</si>
  <si>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услуги водоснабжения</t>
  </si>
  <si>
    <t>с. Барабаш, с. Занадворовка</t>
  </si>
  <si>
    <t>"4189671"</t>
  </si>
  <si>
    <t>pIns_PT_VTAR_A_COLDVSNA</t>
  </si>
  <si>
    <t>pt_ntar_9</t>
  </si>
  <si>
    <t>pt_ter_9</t>
  </si>
  <si>
    <t>pt_cs_9</t>
  </si>
  <si>
    <t>с. Безверхово, п. Перевозное</t>
  </si>
  <si>
    <t>pt_cs_32</t>
  </si>
  <si>
    <t>pt_ist_te_32</t>
  </si>
  <si>
    <t>пгт. Краскино</t>
  </si>
  <si>
    <t>pt_cs_33</t>
  </si>
  <si>
    <t>pt_ist_te_33</t>
  </si>
  <si>
    <t>пгт. Посьет</t>
  </si>
  <si>
    <t>pt_cs_34</t>
  </si>
  <si>
    <t>pt_ist_te_34</t>
  </si>
  <si>
    <t>пгт. Приморский</t>
  </si>
  <si>
    <t>pt_cs_35</t>
  </si>
  <si>
    <t>pt_ist_te_35</t>
  </si>
  <si>
    <t>Добавить централизованную систему для дифференциации</t>
  </si>
  <si>
    <t>с. Романовка</t>
  </si>
  <si>
    <t>pt_ter_30</t>
  </si>
  <si>
    <t>pt_cs_31</t>
  </si>
  <si>
    <t>pt_ist_te_31</t>
  </si>
  <si>
    <t>с. Многоудобное</t>
  </si>
  <si>
    <t>pt_cs_36</t>
  </si>
  <si>
    <t>pt_ist_te_36</t>
  </si>
  <si>
    <t>Военный городок Графский</t>
  </si>
  <si>
    <t>pt_ter_31</t>
  </si>
  <si>
    <t>pt_cs_37</t>
  </si>
  <si>
    <t>pt_ist_te_37</t>
  </si>
  <si>
    <t xml:space="preserve">с. Глубинное </t>
  </si>
  <si>
    <t>pt_ter_32</t>
  </si>
  <si>
    <t>pt_cs_38</t>
  </si>
  <si>
    <t>pt_ist_te_38</t>
  </si>
  <si>
    <t>Кавалеровский МО</t>
  </si>
  <si>
    <t>pt_ter_33</t>
  </si>
  <si>
    <t>pt_cs_39</t>
  </si>
  <si>
    <t>pt_ist_te_39</t>
  </si>
  <si>
    <t>Дальнегорский ГО</t>
  </si>
  <si>
    <t>pt_ter_34</t>
  </si>
  <si>
    <t>pt_cs_40</t>
  </si>
  <si>
    <t>pt_ist_te_40</t>
  </si>
  <si>
    <t>Новошахтинское ГП</t>
  </si>
  <si>
    <t>pt_ter_35</t>
  </si>
  <si>
    <t>pt_cs_41</t>
  </si>
  <si>
    <t>pt_ist_te_41</t>
  </si>
  <si>
    <t>пгт. Путятин</t>
  </si>
  <si>
    <t>pt_ter_36</t>
  </si>
  <si>
    <t>pt_cs_42</t>
  </si>
  <si>
    <t>pt_ist_te_42</t>
  </si>
  <si>
    <t>ГО ЗАТО Фокино</t>
  </si>
  <si>
    <t>pt_cs_43</t>
  </si>
  <si>
    <t>pt_ist_te_43</t>
  </si>
  <si>
    <t>ГО Спасск-Дальний МКР №1-3,3-а</t>
  </si>
  <si>
    <t>pt_ter_37</t>
  </si>
  <si>
    <t>pt_cs_44</t>
  </si>
  <si>
    <t>pt_ist_te_44</t>
  </si>
  <si>
    <t>ГО Спасск-Дальний МКР им. С.Лазо</t>
  </si>
  <si>
    <t>pt_cs_45</t>
  </si>
  <si>
    <t>pt_ist_te_45</t>
  </si>
  <si>
    <t>с. Меркушевка, с. Синий Гай, с. Майское, с. Искра, с. Дмитриевка</t>
  </si>
  <si>
    <t>pt_ter_38</t>
  </si>
  <si>
    <t>pt_cs_46</t>
  </si>
  <si>
    <t>pt_ist_te_46</t>
  </si>
  <si>
    <t>с. Черниговка, с. Горный Хутор</t>
  </si>
  <si>
    <t>pt_cs_47</t>
  </si>
  <si>
    <t>pt_ist_te_47</t>
  </si>
  <si>
    <t>с. Абражеевка, с. Васиановка, с. Снегуровка</t>
  </si>
  <si>
    <t>pt_cs_48</t>
  </si>
  <si>
    <t>pt_ist_te_48</t>
  </si>
  <si>
    <t>с.Реттиховка</t>
  </si>
  <si>
    <t>pt_cs_50</t>
  </si>
  <si>
    <t>pt_ist_te_50</t>
  </si>
  <si>
    <t>с. Анучино, с. Новогордеевка</t>
  </si>
  <si>
    <t>pt_ter_39</t>
  </si>
  <si>
    <t>pt_cs_49</t>
  </si>
  <si>
    <t>pt_ist_te_49</t>
  </si>
  <si>
    <t>Добавить территорию для дифференциации</t>
  </si>
  <si>
    <t>Добавить наименование тарифа</t>
  </si>
  <si>
    <t>Тариф на техническую воду</t>
  </si>
  <si>
    <t>ГО Спасск-Дальний</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</si>
  <si>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</si>
  <si>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</si>
  <si>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</si>
  <si>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</si>
  <si>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</si>
  <si>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</si>
  <si>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</si>
  <si>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</si>
  <si>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</si>
  <si>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</si>
  <si>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</si>
  <si>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</si>
  <si>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</si>
  <si>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</si>
  <si>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</si>
  <si>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</si>
  <si>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</si>
  <si>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</si>
  <si>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</si>
  <si>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</si>
  <si>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</si>
  <si>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</si>
  <si>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</si>
  <si>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</si>
  <si>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</si>
  <si>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</si>
  <si>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</si>
  <si>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</si>
  <si>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</si>
  <si>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</si>
  <si>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</si>
  <si>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</si>
  <si>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</si>
  <si>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</si>
  <si>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</si>
  <si>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</si>
  <si>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</si>
  <si>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</si>
  <si>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</si>
  <si>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</si>
  <si>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</si>
  <si>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</si>
  <si>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</si>
  <si>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</si>
  <si>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</si>
  <si>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</si>
  <si>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</si>
  <si>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</si>
  <si>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</si>
  <si>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</si>
  <si>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</si>
  <si>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</si>
  <si>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</si>
  <si>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</si>
  <si>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</si>
  <si>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</si>
  <si>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</si>
  <si>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</si>
  <si>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</si>
  <si>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</si>
  <si>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</si>
  <si>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</si>
  <si>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</si>
  <si>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</si>
  <si>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</si>
  <si>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</si>
  <si>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</si>
  <si>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</si>
  <si>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</si>
  <si>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</si>
  <si>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</si>
  <si>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</si>
  <si>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</si>
  <si>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</si>
  <si>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</si>
  <si>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</si>
  <si>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</si>
  <si>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</si>
  <si>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</si>
  <si>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</si>
  <si>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</si>
  <si>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</si>
  <si>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</si>
  <si>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</si>
  <si>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</si>
  <si>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</si>
  <si>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</si>
  <si>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</si>
  <si>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</si>
  <si>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</si>
  <si>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</si>
  <si>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</si>
  <si>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</si>
  <si>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</si>
  <si>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</si>
  <si>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</si>
  <si>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</si>
  <si>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</si>
  <si>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</si>
  <si>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</si>
  <si>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</si>
  <si>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</si>
  <si>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</si>
  <si>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</si>
  <si>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</si>
  <si>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</si>
  <si>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</si>
  <si>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</si>
  <si>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</si>
  <si>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</si>
  <si>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</si>
  <si>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</si>
  <si>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</si>
  <si>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</si>
  <si>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</si>
  <si>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</si>
  <si>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</si>
  <si>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</si>
  <si>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</si>
  <si>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</si>
  <si>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</si>
  <si>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</si>
  <si>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</si>
  <si>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</si>
  <si>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</si>
  <si>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</si>
  <si>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</si>
  <si>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</si>
  <si>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</si>
  <si>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</si>
  <si>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</si>
  <si>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</si>
  <si>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</si>
  <si>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</si>
  <si>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</si>
  <si>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</si>
  <si>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</si>
  <si>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</si>
  <si>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</si>
  <si>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</si>
  <si>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</si>
  <si>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</si>
  <si>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</si>
  <si>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</si>
  <si>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</si>
  <si>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</si>
  <si>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</si>
  <si>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</si>
  <si>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</si>
  <si>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</si>
  <si>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</si>
  <si>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</si>
  <si>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</si>
  <si>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</si>
  <si>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</si>
  <si>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</si>
  <si>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</si>
  <si>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</si>
  <si>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</si>
  <si>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</si>
  <si>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</si>
  <si>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</si>
  <si>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</si>
  <si>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</si>
  <si>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</si>
  <si>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</si>
  <si>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</si>
  <si>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</si>
  <si>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</si>
  <si>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</si>
  <si>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</si>
  <si>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</si>
  <si>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</si>
  <si>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</si>
  <si>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</si>
  <si>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</si>
  <si>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</si>
  <si>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</si>
  <si>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</si>
  <si>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</si>
  <si>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</si>
  <si>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</si>
  <si>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</si>
  <si>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</si>
  <si>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</si>
  <si>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</si>
  <si>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</si>
  <si>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</si>
  <si>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</si>
  <si>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</si>
  <si>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</si>
  <si>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</si>
  <si>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</si>
  <si>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</si>
  <si>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</si>
  <si>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</si>
  <si>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</si>
  <si>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</si>
  <si>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</si>
  <si>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</si>
  <si>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</si>
  <si>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</si>
  <si>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</si>
  <si>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</si>
  <si>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</si>
  <si>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</si>
  <si>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</si>
  <si>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</si>
  <si>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</si>
  <si>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</si>
  <si>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</si>
  <si>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</si>
  <si>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</si>
  <si>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</si>
  <si>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</si>
  <si>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</si>
  <si>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</si>
  <si>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</si>
  <si>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</si>
  <si>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</si>
  <si>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</si>
  <si>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</si>
  <si>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</si>
  <si>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</si>
  <si>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</si>
  <si>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</si>
  <si>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</si>
  <si>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</si>
  <si>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</si>
  <si>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</si>
  <si>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</si>
  <si>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</si>
  <si>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</si>
  <si>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</si>
  <si>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</si>
  <si>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</si>
  <si>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</si>
  <si>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</si>
  <si>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</si>
  <si>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</si>
  <si>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</si>
  <si>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</si>
  <si>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</si>
  <si>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</si>
  <si>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</si>
  <si>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</si>
  <si>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</si>
  <si>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</si>
  <si>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</si>
  <si>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</si>
  <si>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</si>
  <si>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</si>
  <si>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</si>
  <si>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</si>
  <si>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</si>
  <si>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</si>
  <si>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</si>
  <si>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</si>
  <si>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</si>
  <si>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</si>
  <si>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</si>
  <si>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</si>
  <si>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</si>
  <si>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</si>
  <si>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</si>
  <si>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</si>
  <si>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</si>
  <si>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</si>
  <si>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</si>
  <si>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</si>
  <si>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</si>
  <si>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</si>
  <si>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</si>
  <si>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</si>
  <si>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</si>
  <si>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</si>
  <si>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</si>
  <si>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</si>
  <si>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</si>
  <si>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</si>
  <si>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</si>
  <si>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</si>
  <si>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</si>
  <si>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</si>
  <si>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</si>
  <si>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</si>
  <si>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</si>
  <si>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</si>
  <si>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</si>
  <si>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</si>
  <si>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</si>
  <si>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</si>
  <si>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</si>
  <si>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</si>
  <si>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</si>
  <si>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</si>
  <si>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</si>
  <si>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</si>
  <si>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</si>
  <si>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</si>
  <si>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</si>
  <si>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</si>
  <si>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</si>
  <si>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</si>
  <si>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</si>
  <si>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</si>
  <si>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</si>
  <si>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</si>
  <si>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</si>
  <si>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</si>
  <si>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</si>
  <si>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</si>
  <si>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</si>
  <si>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</si>
  <si>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</si>
  <si>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</si>
  <si>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</si>
  <si>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</si>
  <si>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</si>
  <si>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</si>
  <si>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</si>
  <si>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</si>
  <si>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</si>
  <si>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</si>
  <si>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</si>
  <si>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</si>
  <si>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</si>
  <si>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</si>
  <si>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</si>
  <si>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</si>
  <si>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</si>
  <si>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</si>
  <si>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</si>
  <si>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</si>
  <si>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</si>
  <si>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</si>
  <si>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</si>
  <si>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</si>
  <si>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</si>
  <si>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</si>
  <si>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</si>
  <si>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</si>
  <si>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</si>
  <si>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</si>
  <si>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</si>
  <si>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</si>
  <si>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</si>
  <si>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</si>
  <si>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</si>
  <si>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</si>
  <si>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</si>
  <si>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</si>
  <si>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</si>
  <si>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</si>
  <si>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</si>
  <si>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</si>
  <si>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</si>
  <si>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</si>
  <si>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</si>
  <si>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</si>
  <si>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</si>
  <si>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</si>
  <si>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</si>
  <si>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</si>
  <si>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</si>
  <si>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</si>
  <si>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</si>
  <si>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</si>
  <si>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</si>
  <si>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</si>
  <si>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</si>
  <si>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</si>
  <si>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</si>
  <si>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</si>
  <si>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</si>
  <si>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</si>
  <si>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</si>
  <si>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</si>
  <si>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</si>
  <si>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</si>
  <si>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</si>
  <si>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</si>
  <si>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</si>
  <si>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</si>
  <si>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</si>
  <si>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</si>
  <si>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</si>
  <si>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</si>
  <si>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</si>
  <si>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</si>
  <si>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</si>
  <si>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</si>
  <si>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</si>
  <si>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</si>
  <si>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</si>
  <si>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</si>
  <si>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</si>
  <si>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</si>
  <si>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</si>
  <si>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</si>
  <si>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</si>
  <si>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</si>
  <si>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</si>
  <si>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</si>
  <si>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</si>
  <si>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</si>
  <si>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</si>
  <si>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</si>
  <si>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</si>
  <si>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</si>
  <si>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</si>
  <si>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</si>
  <si>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</si>
  <si>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</si>
  <si>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</si>
  <si>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</si>
  <si>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</si>
  <si>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</si>
  <si>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</si>
  <si>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</si>
  <si>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</si>
  <si>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</si>
  <si>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</si>
  <si>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</si>
  <si>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</si>
  <si>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</si>
  <si>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</si>
  <si>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</si>
  <si>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</si>
  <si>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</si>
  <si>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</si>
  <si>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</si>
  <si>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</si>
  <si>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</si>
  <si>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</si>
  <si>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</si>
  <si>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</si>
  <si>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</si>
  <si>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</si>
  <si>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</si>
  <si>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</si>
  <si>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</si>
  <si>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</si>
  <si>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</si>
  <si>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</si>
  <si>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</si>
  <si>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</si>
  <si>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</si>
  <si>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</si>
  <si>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</si>
  <si>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</si>
  <si>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</si>
  <si>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</si>
  <si>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</si>
  <si>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</si>
  <si>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</si>
  <si>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</si>
  <si>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</si>
  <si>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</si>
  <si>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</si>
  <si>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</si>
  <si>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</si>
  <si>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</si>
  <si>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</si>
  <si>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</si>
  <si>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</si>
  <si>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</si>
  <si>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</si>
  <si>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</si>
  <si>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</si>
  <si>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</si>
  <si>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</si>
  <si>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</si>
  <si>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</si>
  <si>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</si>
  <si>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</si>
  <si>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</si>
  <si>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</si>
  <si>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</si>
  <si>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</si>
  <si>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</si>
  <si>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</si>
  <si>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</si>
  <si>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</si>
  <si>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</si>
  <si>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</si>
  <si>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</si>
  <si>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</si>
  <si>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</si>
  <si>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</si>
  <si>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</si>
  <si>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</si>
  <si>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</si>
  <si>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</si>
  <si>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</si>
  <si>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</si>
  <si>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</si>
  <si>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</si>
  <si>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</si>
  <si>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</si>
  <si>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</si>
  <si>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</si>
  <si>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</si>
  <si>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</si>
  <si>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</si>
  <si>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</si>
  <si>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</si>
  <si>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</si>
  <si>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</si>
  <si>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</si>
  <si>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</si>
  <si>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</si>
  <si>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</si>
  <si>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</si>
  <si>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</si>
  <si>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</si>
  <si>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</si>
  <si>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</si>
  <si>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</si>
  <si>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</si>
  <si>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</si>
  <si>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</si>
  <si>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</si>
  <si>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</si>
  <si>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</si>
  <si>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</si>
  <si>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</si>
  <si>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</si>
  <si>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</si>
  <si>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</si>
  <si>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</si>
  <si>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</si>
  <si>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</si>
  <si>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</si>
  <si>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</si>
  <si>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</si>
  <si>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</si>
  <si>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</si>
  <si>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</si>
  <si>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</si>
  <si>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</si>
  <si>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</si>
  <si>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</si>
  <si>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</si>
  <si>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</si>
  <si>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</si>
  <si>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</si>
  <si>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</si>
  <si>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</si>
  <si>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</si>
  <si>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</si>
  <si>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</si>
  <si>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</si>
  <si>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</si>
  <si>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</si>
  <si>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</si>
  <si>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</si>
  <si>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</si>
  <si>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</si>
  <si>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</si>
  <si>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</si>
  <si>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</si>
  <si>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</si>
  <si>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</si>
  <si>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</si>
  <si>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</si>
  <si>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</si>
  <si>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</si>
  <si>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</si>
  <si>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</si>
  <si>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</si>
  <si>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</si>
  <si>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</si>
  <si>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</si>
  <si>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</si>
  <si>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</si>
  <si>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</si>
  <si>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</si>
  <si>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</si>
  <si>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</si>
  <si>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</si>
  <si>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</si>
  <si>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</si>
  <si>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</si>
  <si>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</si>
  <si>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</si>
  <si>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</si>
  <si>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</si>
  <si>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</si>
  <si>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</si>
  <si>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</si>
  <si>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</si>
  <si>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</si>
  <si>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</si>
  <si>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</si>
  <si>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</si>
  <si>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</si>
  <si>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</si>
  <si>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</si>
  <si>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</si>
  <si>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</si>
  <si>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</si>
  <si>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</si>
  <si>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</si>
  <si>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</si>
  <si>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</si>
  <si>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</si>
  <si>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</si>
  <si>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</si>
  <si>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</si>
  <si>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</si>
  <si>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</si>
  <si>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</si>
  <si>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</si>
  <si>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</si>
  <si>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</si>
  <si>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</si>
  <si>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</si>
  <si>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</si>
  <si>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</si>
  <si>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</si>
  <si>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</si>
  <si>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</si>
  <si>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</si>
  <si>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</si>
  <si>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</si>
  <si>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</si>
  <si>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</si>
  <si>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</si>
  <si>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</si>
  <si>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</si>
  <si>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</si>
  <si>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</si>
  <si>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</si>
  <si>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</si>
  <si>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</si>
  <si>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</si>
  <si>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</si>
  <si>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</si>
  <si>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</si>
  <si>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</si>
  <si>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</si>
  <si>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</si>
  <si>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</si>
  <si>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</si>
  <si>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</si>
  <si>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</si>
  <si>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</si>
  <si>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</si>
  <si>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</si>
  <si>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</si>
  <si>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</si>
  <si>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</si>
  <si>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</si>
  <si>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</si>
  <si>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</si>
  <si>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</si>
  <si>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</si>
  <si>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</si>
  <si>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</si>
  <si>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</si>
  <si>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</si>
  <si>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</si>
  <si>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</si>
  <si>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</si>
  <si>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</si>
  <si>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</si>
  <si>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</si>
  <si>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</si>
  <si>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</si>
  <si>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</si>
  <si>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</si>
  <si>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</si>
  <si>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</si>
  <si>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</si>
  <si>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</si>
  <si>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</si>
  <si>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</si>
  <si>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</si>
  <si>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</si>
  <si>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</si>
  <si>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</si>
  <si>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</si>
  <si>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</si>
  <si>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</si>
  <si>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</si>
  <si>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</si>
  <si>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</si>
  <si>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</si>
  <si>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</si>
  <si>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</si>
  <si>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</si>
  <si>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</si>
  <si>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</si>
  <si>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</si>
  <si>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</si>
  <si>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</si>
  <si>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</si>
  <si>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</si>
  <si>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</si>
  <si>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</si>
  <si>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</si>
  <si>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</si>
  <si>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</si>
  <si>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</si>
  <si>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</si>
  <si>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</si>
  <si>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</si>
  <si>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</si>
  <si>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</si>
  <si>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</si>
  <si>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</si>
  <si>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</si>
  <si>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</si>
  <si>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</si>
  <si>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</si>
  <si>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</si>
  <si>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</si>
  <si>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</si>
  <si>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</si>
  <si>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</si>
  <si>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</si>
  <si>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</si>
  <si>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</si>
  <si>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</si>
  <si>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</si>
  <si>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</si>
  <si>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</si>
  <si>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</si>
  <si>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</si>
  <si>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</si>
  <si>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</si>
  <si>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</si>
  <si>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</si>
  <si>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</si>
  <si>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</si>
  <si>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</si>
  <si>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</si>
  <si>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</si>
  <si>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</si>
  <si>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</si>
  <si>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</si>
  <si>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</si>
  <si>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</si>
  <si>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</si>
  <si>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</si>
  <si>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</si>
  <si>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</si>
  <si>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</si>
  <si>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</si>
  <si>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</si>
  <si>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</si>
  <si>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</si>
  <si>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</si>
  <si>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</si>
  <si>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</si>
  <si>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</si>
  <si>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</si>
  <si>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</si>
  <si>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</si>
  <si>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</si>
  <si>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</si>
  <si>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</si>
  <si>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</si>
  <si>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</si>
  <si>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</si>
  <si>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</si>
  <si>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</si>
  <si>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</si>
  <si>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</si>
  <si>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</si>
  <si>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</si>
  <si>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</si>
  <si>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</si>
  <si>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</si>
  <si>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</si>
  <si>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</si>
  <si>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</si>
  <si>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</si>
  <si>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</si>
  <si>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</si>
  <si>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</si>
  <si>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</si>
  <si>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</si>
  <si>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</si>
  <si>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</si>
  <si>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</si>
  <si>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</si>
  <si>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</si>
  <si>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</si>
  <si>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</si>
  <si>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</si>
  <si>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</si>
  <si>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</si>
  <si>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</si>
  <si>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</si>
  <si>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</si>
  <si>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</si>
  <si>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</si>
  <si>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</si>
  <si>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</si>
  <si>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</si>
  <si>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</si>
  <si>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</si>
  <si>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</si>
  <si>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</si>
  <si>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</si>
  <si>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</si>
  <si>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</si>
  <si>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</si>
  <si>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</si>
  <si>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</si>
  <si>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</si>
  <si>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</si>
  <si>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</si>
  <si>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</si>
  <si>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</si>
  <si>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</si>
  <si>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</si>
  <si>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</si>
  <si>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</si>
  <si>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</si>
  <si>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</si>
  <si>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</si>
  <si>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</si>
  <si>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</si>
  <si>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</si>
  <si>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</si>
  <si>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</si>
  <si>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</si>
  <si>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</si>
  <si>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</si>
  <si>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</si>
  <si>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</si>
  <si>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</si>
  <si>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</si>
  <si>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</si>
  <si>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</si>
  <si>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</si>
  <si>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</si>
  <si>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</si>
  <si>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</si>
  <si>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</si>
  <si>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</si>
  <si>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</si>
  <si>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</si>
  <si>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</si>
  <si>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</si>
  <si>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</si>
  <si>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</si>
  <si>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</si>
  <si>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</si>
  <si>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</si>
  <si>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</si>
  <si>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</si>
  <si>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</si>
  <si>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</si>
  <si>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</si>
  <si>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</si>
  <si>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</si>
  <si>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</si>
  <si>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</si>
  <si>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</si>
  <si>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</si>
  <si>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</si>
  <si>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</si>
  <si>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</si>
  <si>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</si>
  <si>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</si>
  <si>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</si>
  <si>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</si>
  <si>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</si>
  <si>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</si>
  <si>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</si>
  <si>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</si>
  <si>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</si>
  <si>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</si>
  <si>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</si>
  <si>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</si>
  <si>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</si>
  <si>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</si>
  <si>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</si>
  <si>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</si>
  <si>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</si>
  <si>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</si>
  <si>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</si>
  <si>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</si>
  <si>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</si>
  <si>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</si>
  <si>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</si>
  <si>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</si>
  <si>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</si>
  <si>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</si>
  <si>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</si>
  <si>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</si>
  <si>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</si>
  <si>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</si>
  <si>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</si>
  <si>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</si>
  <si>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</si>
  <si>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</si>
  <si>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</si>
  <si>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</si>
  <si>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</si>
  <si>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</si>
  <si>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</si>
  <si>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</si>
  <si>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</si>
  <si>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</si>
  <si>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</si>
  <si>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</si>
  <si>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</si>
  <si>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</si>
  <si>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</si>
  <si>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</si>
  <si>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</si>
  <si>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</si>
  <si>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</si>
  <si>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</si>
  <si>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</si>
  <si>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https://portal.eias.ru/Portal/DownloadPage.aspx?type=12&amp;guid=1d4136a2-5f4c-4089-8ece-33d332835526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</si>
  <si>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</si>
  <si>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</si>
  <si>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</si>
  <si>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</si>
  <si>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</si>
  <si>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</si>
  <si>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</si>
  <si>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www.zakupki.gov.ru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</si>
  <si>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</si>
  <si>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</si>
  <si>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</si>
  <si>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</si>
  <si>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</si>
  <si>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</si>
  <si>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</si>
  <si>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</si>
  <si>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</si>
  <si>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</si>
  <si>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</si>
  <si>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</si>
  <si>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</si>
  <si>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</si>
  <si>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</si>
  <si>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</si>
  <si>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</si>
  <si>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</si>
  <si>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</si>
  <si>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</si>
  <si>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</si>
  <si>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</si>
  <si>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</si>
  <si>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</si>
  <si>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</si>
  <si>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</si>
  <si>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</si>
  <si>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</si>
  <si>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</si>
  <si>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</si>
  <si>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</si>
  <si>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</si>
  <si>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</si>
  <si>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</si>
  <si>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</si>
  <si>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</si>
  <si>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</si>
  <si>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</si>
  <si>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</si>
  <si>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</si>
  <si>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</si>
  <si>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</si>
  <si>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</si>
  <si>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</si>
  <si>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</si>
  <si>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</si>
  <si>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</si>
  <si>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</si>
  <si>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</si>
  <si>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</si>
  <si>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</si>
  <si>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</si>
  <si>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</si>
  <si>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</si>
  <si>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</si>
  <si>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</si>
  <si>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</si>
  <si>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</si>
  <si>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</si>
  <si>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</si>
  <si>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</si>
  <si>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</si>
  <si>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</si>
  <si>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</si>
  <si>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</si>
  <si>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</si>
  <si>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</si>
  <si>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</si>
  <si>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</si>
  <si>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</si>
  <si>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</si>
  <si>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</si>
  <si>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</si>
  <si>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</si>
  <si>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</si>
  <si>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</si>
  <si>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</si>
  <si>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</si>
  <si>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</si>
  <si>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</si>
  <si>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</si>
  <si>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</si>
  <si>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</si>
  <si>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</si>
  <si>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</si>
  <si>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</si>
  <si>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</si>
  <si>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</si>
  <si>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</si>
  <si>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</si>
  <si>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</si>
  <si>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</si>
  <si>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</si>
  <si>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</si>
  <si>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</si>
  <si>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</si>
  <si>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</si>
  <si>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</si>
  <si>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</si>
  <si>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</si>
  <si>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</si>
  <si>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</si>
  <si>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</si>
  <si>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</si>
  <si>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</si>
  <si>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</si>
  <si>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</si>
  <si>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</si>
  <si>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</si>
  <si>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</si>
  <si>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</si>
  <si>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</si>
  <si>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</si>
  <si>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</si>
  <si>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</si>
  <si>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</si>
  <si>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</si>
  <si>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</si>
  <si>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</si>
  <si>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</si>
  <si>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</si>
  <si>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</si>
  <si>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</si>
  <si>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</si>
  <si>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</si>
  <si>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</si>
  <si>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</si>
  <si>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</si>
  <si>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</si>
  <si>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</si>
  <si>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</si>
  <si>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</si>
  <si>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</si>
  <si>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</si>
  <si>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</si>
  <si>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</si>
  <si>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</si>
  <si>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</si>
  <si>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</si>
  <si>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</si>
  <si>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</si>
  <si>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</si>
  <si>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</si>
  <si>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</si>
  <si>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</si>
  <si>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</si>
  <si>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</si>
  <si>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</si>
  <si>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</si>
  <si>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</si>
  <si>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</si>
  <si>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</si>
  <si>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</si>
  <si>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</si>
  <si>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</si>
  <si>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</si>
  <si>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</si>
  <si>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</si>
  <si>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</si>
  <si>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</si>
  <si>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</si>
  <si>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</si>
  <si>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</si>
  <si>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</si>
  <si>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</si>
  <si>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</si>
  <si>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</si>
  <si>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</si>
  <si>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</si>
  <si>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</si>
  <si>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</si>
  <si>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</si>
  <si>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</si>
  <si>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</si>
  <si>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</si>
  <si>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</si>
  <si>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</si>
  <si>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</si>
  <si>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</si>
  <si>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</si>
  <si>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</si>
  <si>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</si>
  <si>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</si>
  <si>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</si>
  <si>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</si>
  <si>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</si>
  <si>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</si>
  <si>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</si>
  <si>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</si>
  <si>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</si>
  <si>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</si>
  <si>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</si>
  <si>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</si>
  <si>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</si>
  <si>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</si>
  <si>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</si>
  <si>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</si>
  <si>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</si>
  <si>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</si>
  <si>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</si>
  <si>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</si>
  <si>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</si>
  <si>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</si>
  <si>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</si>
  <si>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</si>
  <si>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</si>
  <si>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</si>
  <si>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</si>
  <si>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</si>
  <si>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</si>
  <si>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</si>
  <si>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</si>
  <si>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</si>
  <si>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</si>
  <si>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</si>
  <si>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</si>
  <si>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</si>
  <si>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</si>
  <si>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</si>
  <si>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</si>
  <si>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</si>
  <si>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</si>
  <si>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</si>
  <si>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</si>
  <si>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</si>
  <si>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</si>
  <si>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</si>
  <si>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</si>
  <si>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</si>
  <si>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</si>
  <si>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</si>
  <si>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</si>
  <si>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</si>
  <si>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</si>
  <si>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</si>
  <si>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</si>
  <si>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</si>
  <si>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</si>
  <si>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</si>
  <si>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</si>
  <si>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</si>
  <si>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</si>
  <si>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</si>
  <si>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</si>
  <si>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</si>
  <si>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</si>
  <si>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</si>
  <si>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</si>
  <si>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</si>
  <si>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</si>
  <si>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</si>
  <si>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</si>
  <si>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</si>
  <si>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</si>
  <si>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</si>
  <si>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</si>
  <si>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</si>
  <si>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</si>
  <si>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</si>
  <si>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</si>
  <si>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</si>
  <si>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</si>
  <si>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</si>
  <si>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</si>
  <si>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</si>
  <si>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</si>
  <si>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</si>
  <si>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</si>
  <si>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</si>
  <si>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</si>
  <si>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</si>
  <si>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</si>
  <si>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</si>
  <si>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</si>
  <si>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</si>
  <si>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</si>
  <si>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</si>
  <si>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</si>
  <si>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</si>
  <si>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</si>
  <si>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</si>
  <si>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</si>
  <si>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</si>
  <si>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</si>
  <si>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</si>
  <si>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</si>
  <si>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</si>
  <si>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</si>
  <si>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</si>
  <si>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</si>
  <si>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</si>
  <si>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</si>
  <si>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</si>
  <si>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</si>
  <si>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</si>
  <si>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</si>
  <si>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</si>
  <si>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</si>
  <si>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</si>
  <si>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</si>
  <si>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</si>
  <si>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</si>
  <si>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</si>
  <si>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</si>
  <si>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</si>
  <si>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</si>
  <si>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</si>
  <si>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</si>
  <si>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</si>
  <si>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</si>
  <si>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</si>
  <si>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</si>
  <si>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</si>
  <si>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</si>
  <si>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</si>
  <si>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</si>
  <si>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</si>
  <si>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</si>
  <si>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</si>
  <si>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</si>
  <si>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</si>
  <si>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</si>
  <si>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</si>
  <si>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</si>
  <si>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</si>
  <si>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</si>
  <si>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</si>
  <si>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</si>
  <si>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</si>
  <si>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</si>
  <si>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</si>
  <si>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</si>
  <si>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</si>
  <si>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</si>
  <si>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</si>
  <si>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</si>
  <si>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</si>
  <si>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</si>
  <si>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</si>
  <si>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</si>
  <si>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</si>
  <si>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</si>
  <si>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</si>
  <si>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</si>
  <si>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</si>
  <si>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</si>
  <si>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</si>
  <si>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</si>
  <si>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</si>
  <si>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</si>
  <si>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</si>
  <si>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</si>
  <si>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</si>
  <si>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</si>
  <si>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</si>
  <si>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</si>
  <si>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</si>
  <si>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</si>
  <si>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</si>
  <si>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</si>
  <si>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</si>
  <si>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</si>
  <si>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</si>
  <si>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</si>
  <si>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</si>
  <si>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</si>
  <si>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</si>
  <si>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</si>
  <si>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</si>
  <si>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</si>
  <si>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</si>
  <si>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</si>
  <si>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</si>
  <si>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</si>
  <si>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</si>
  <si>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</si>
  <si>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</si>
  <si>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</si>
  <si>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</si>
  <si>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</si>
  <si>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</si>
  <si>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</si>
  <si>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</si>
  <si>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</si>
  <si>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</si>
  <si>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</si>
  <si>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</si>
  <si>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</si>
  <si>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</si>
  <si>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</si>
  <si>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</si>
  <si>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</si>
  <si>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</si>
  <si>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</si>
  <si>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</si>
  <si>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</si>
  <si>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</si>
  <si>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</si>
  <si>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</si>
  <si>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</si>
  <si>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</si>
  <si>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</si>
  <si>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</si>
  <si>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</si>
  <si>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</si>
  <si>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</si>
  <si>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</si>
  <si>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</si>
  <si>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</si>
  <si>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</si>
  <si>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</si>
  <si>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</si>
  <si>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</si>
  <si>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</si>
  <si>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</si>
  <si>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</si>
  <si>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</si>
  <si>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</si>
  <si>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</si>
  <si>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</si>
  <si>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</si>
  <si>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</si>
  <si>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</si>
  <si>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</si>
  <si>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</si>
  <si>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</si>
  <si>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</si>
  <si>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</si>
  <si>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</si>
  <si>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</si>
  <si>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</si>
  <si>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</si>
  <si>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</si>
  <si>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</si>
  <si>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</si>
  <si>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</si>
  <si>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</si>
  <si>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</si>
  <si>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</si>
  <si>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</si>
  <si>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</si>
  <si>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</si>
  <si>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</si>
  <si>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</si>
  <si>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</si>
  <si>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</si>
  <si>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</si>
  <si>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</si>
  <si>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</si>
  <si>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</si>
  <si>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</si>
  <si>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</si>
  <si>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</si>
  <si>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</si>
  <si>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</si>
  <si>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</si>
  <si>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</si>
  <si>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</si>
  <si>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</si>
  <si>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</si>
  <si>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</si>
  <si>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</si>
  <si>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</si>
  <si>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</si>
  <si>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</si>
  <si>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</si>
  <si>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</si>
  <si>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</si>
  <si>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</si>
  <si>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</si>
  <si>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</si>
  <si>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</si>
  <si>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</si>
  <si>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</si>
  <si>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</si>
  <si>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</si>
  <si>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</si>
  <si>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</si>
  <si>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</si>
  <si>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</si>
  <si>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</si>
  <si>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</si>
  <si>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</si>
  <si>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</si>
  <si>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</si>
  <si>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</si>
  <si>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</si>
  <si>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</si>
  <si>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</si>
  <si>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</si>
  <si>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</si>
  <si>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</si>
  <si>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</si>
  <si>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</si>
  <si>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</si>
  <si>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</si>
  <si>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</si>
  <si>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</si>
  <si>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</si>
  <si>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</si>
  <si>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</si>
  <si>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</si>
  <si>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</si>
  <si>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</si>
  <si>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</si>
  <si>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</si>
  <si>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</si>
  <si>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</si>
  <si>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</si>
  <si>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</si>
  <si>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</si>
  <si>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</si>
  <si>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</si>
  <si>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</si>
  <si>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</si>
  <si>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</si>
  <si>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</si>
  <si>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</si>
  <si>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</si>
  <si>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</si>
  <si>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</si>
  <si>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</si>
  <si>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</si>
  <si>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</si>
  <si>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</si>
  <si>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</si>
  <si>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</si>
  <si>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</si>
  <si>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</si>
  <si>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</si>
  <si>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</si>
  <si>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</si>
  <si>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</si>
  <si>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</si>
  <si>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</si>
  <si>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</si>
  <si>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</si>
  <si>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</si>
  <si>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</si>
  <si>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</si>
  <si>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</si>
  <si>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</si>
  <si>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</si>
  <si>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</si>
  <si>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</si>
  <si>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</si>
  <si>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</si>
  <si>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</si>
  <si>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</si>
  <si>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</si>
  <si>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</si>
  <si>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</si>
  <si>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</si>
  <si>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</si>
  <si>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</si>
  <si>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</si>
  <si>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</si>
  <si>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</si>
  <si>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</si>
  <si>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</si>
  <si>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</si>
  <si>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</si>
  <si>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</si>
  <si>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</si>
  <si>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</si>
  <si>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</si>
  <si>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</si>
  <si>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</si>
  <si>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</si>
  <si>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</si>
  <si>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</si>
  <si>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</si>
  <si>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</si>
  <si>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</si>
  <si>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</si>
  <si>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</si>
  <si>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</si>
  <si>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</si>
  <si>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</si>
  <si>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</si>
  <si>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</si>
  <si>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</si>
  <si>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</si>
  <si>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</si>
  <si>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</si>
  <si>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</si>
  <si>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</si>
  <si>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</si>
  <si>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</si>
  <si>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</si>
  <si>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</si>
  <si>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</si>
  <si>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</si>
  <si>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</si>
  <si>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</si>
  <si>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</si>
  <si>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</si>
  <si>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</si>
  <si>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</si>
  <si>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</si>
  <si>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</si>
  <si>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</si>
  <si>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</si>
  <si>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</si>
  <si>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</si>
  <si>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</si>
  <si>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</si>
  <si>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</si>
  <si>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</si>
  <si>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</si>
  <si>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</si>
  <si>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</si>
  <si>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</si>
  <si>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</si>
  <si>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</si>
  <si>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</si>
  <si>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</si>
  <si>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</si>
  <si>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</si>
  <si>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</si>
  <si>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</si>
  <si>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</si>
  <si>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</si>
  <si>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</si>
  <si>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</si>
  <si>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</si>
  <si>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</si>
  <si>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</si>
  <si>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</si>
  <si>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</si>
  <si>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</si>
  <si>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</si>
  <si>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</si>
  <si>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</si>
  <si>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</si>
  <si>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</si>
  <si>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</si>
  <si>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</si>
  <si>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</si>
  <si>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</si>
  <si>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</si>
  <si>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</si>
  <si>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</si>
  <si>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</si>
  <si>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</si>
  <si>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</si>
  <si>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</si>
  <si>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</si>
  <si>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</si>
  <si>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</si>
  <si>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</si>
  <si>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</si>
  <si>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</si>
  <si>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</si>
  <si>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</si>
  <si>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</si>
  <si>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</si>
  <si>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</si>
  <si>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</si>
  <si>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</si>
  <si>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</si>
  <si>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</si>
  <si>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</si>
  <si>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</si>
  <si>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</si>
  <si>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</si>
  <si>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</si>
  <si>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</si>
  <si>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</si>
  <si>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</si>
  <si>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</si>
  <si>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</si>
  <si>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</si>
  <si>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</si>
  <si>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</si>
  <si>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</si>
  <si>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</si>
  <si>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</si>
  <si>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</si>
  <si>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</si>
  <si>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</si>
  <si>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</si>
  <si>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</si>
  <si>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</si>
  <si>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</si>
  <si>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</si>
  <si>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</si>
  <si>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</si>
  <si>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</si>
  <si>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</si>
  <si>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</si>
  <si>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</si>
  <si>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</si>
  <si>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</si>
  <si>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</si>
  <si>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</si>
  <si>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</si>
  <si>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</si>
  <si>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</si>
  <si>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</si>
  <si>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</si>
  <si>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</si>
  <si>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</si>
  <si>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</si>
  <si>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</si>
  <si>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</si>
  <si>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</si>
  <si>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</si>
  <si>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</si>
  <si>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</si>
  <si>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</si>
  <si>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</si>
  <si>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</si>
  <si>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</si>
  <si>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</si>
  <si>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</si>
  <si>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</si>
  <si>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</si>
  <si>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</si>
  <si>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</si>
  <si>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</si>
  <si>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</si>
  <si>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</si>
  <si>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</si>
  <si>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</si>
  <si>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</si>
  <si>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</si>
  <si>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</si>
  <si>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</si>
  <si>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</si>
  <si>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</si>
  <si>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</si>
  <si>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</si>
  <si>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</si>
  <si>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</si>
  <si>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</si>
  <si>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</si>
  <si>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</si>
  <si>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</si>
  <si>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</si>
  <si>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</si>
  <si>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об изменении тарифов на холодное водоснабжение на 2025-2028 годы на территории Приморского края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</si>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</sst>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61"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61"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61"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61"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15"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2"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0" fontId="22" fillId="0" borderId="0" xfId="0" applyFont="1" applyNumberFormat="1">
      <alignment horizontal="left" vertical="center" indent="1"/>
    </xf>
    <xf numFmtId="49" fontId="22" fillId="40" borderId="36" xfId="0" applyFont="1" applyFill="1" applyBorder="1" applyNumberFormat="1">
      <alignment horizontal="center" vertical="center" wrapText="1"/>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2"/>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vertical="center" wrapText="1"/>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3" xfId="0" applyFont="1" applyFill="1" applyBorder="1" applyNumberFormat="1">
      <alignment horizontal="left" vertical="center" wrapText="1"/>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515" fontId="0" fillId="39" borderId="13"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15" fontId="0" fillId="39" borderId="14" xfId="0" applyFont="1" applyFill="1" applyBorder="1" applyNumberFormat="1">
      <alignment horizontal="left" vertical="center" wrapText="1"/>
      <protection locked="0"/>
    </xf>
    <xf numFmtId="0" fontId="22"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515" fontId="0" fillId="39" borderId="13"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40" fillId="37" borderId="13" xfId="0" applyFont="1" applyFill="1" applyBorder="1" applyNumberFormat="1">
      <alignment horizontal="left" vertical="center"/>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d4136a2-5f4c-4089-8ece-33d33283552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4027-E035-789E-EA0C-CF7AC0633C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1561" width="5.421875" customWidth="1"/>
    <col min="2" max="2" style="21561" width="9.140625" customWidth="1"/>
    <col min="3" max="3" style="21561" width="16.421875" customWidth="1"/>
    <col min="4" max="25" style="21561" width="6.28125" customWidth="1"/>
    <col min="26" max="28" style="21561"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4A8713-9BAB-E601-7886-0.1C60E09B78}" mc:Ignorable="x14ac xr xr2 xr3">
  <sheetPr>
    <tabColor rgb="FFCCCCFF"/>
  </sheetPr>
  <dimension ref="A1:Q79"/>
  <sheetViews>
    <sheetView topLeftCell="A1" showGridLines="0" zoomScale="90" workbookViewId="0">
      <selection activeCell="F33" sqref="F33"/>
    </sheetView>
  </sheetViews>
  <sheetFormatPr defaultColWidth="9.140625" customHeight="1" defaultRowHeight="11.25"/>
  <cols>
    <col min="1" max="1" style="21682" width="10.7109375" hidden="1" customWidth="1"/>
    <col min="2" max="2" style="21683" width="10.7109375" hidden="1" customWidth="1"/>
    <col min="3" max="3" style="21684" width="3.00390625" customWidth="1"/>
    <col min="4" max="4" style="21605" width="1.00390625" customWidth="1"/>
    <col min="5" max="6" style="21605" width="55.00390625" customWidth="1"/>
    <col min="7" max="7" style="21685" width="1.00390625" customWidth="1"/>
    <col min="8" max="8" style="21605" width="18.00390625" hidden="1" customWidth="1"/>
    <col min="9" max="9" style="21686" width="59.00390625" customWidth="1"/>
    <col min="10" max="10" style="21687" width="52.140625" hidden="1" customWidth="1"/>
    <col min="11" max="11" style="21605" width="8.00390625" customWidth="1"/>
    <col min="12" max="12" style="21605" width="77.00390625" customWidth="1"/>
    <col min="13" max="16" style="21605" width="8.00390625" customWidth="1"/>
    <col min="17" max="17" style="21605" width="12.00390625" hidden="1" customWidth="1"/>
  </cols>
  <sheetData>
    <row s="21562" customFormat="1" customHeight="1" ht="3">
      <c r="A1" s="1124"/>
      <c r="B1" s="582"/>
      <c r="F1" s="583" t="s">
        <v>13</v>
      </c>
      <c r="G1" s="752"/>
      <c r="H1" s="412"/>
      <c r="I1" s="752"/>
      <c r="J1" s="1212"/>
      <c r="Q1" s="583" t="s">
        <v>14</v>
      </c>
    </row>
    <row s="21569" customFormat="1" customHeight="1" ht="14.25">
      <c r="A2" s="1124"/>
      <c r="B2" s="439"/>
      <c r="E2" s="2081" t="str">
        <f>code</f>
        <v>Код отчёта: PP108.OPEN.INFO.REQUEST.COLDVSNA.EIAS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21580"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21580"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21580" customFormat="1" customHeight="1" ht="6.3">
      <c r="A8" s="1126"/>
      <c r="B8" s="573"/>
      <c r="C8" s="574"/>
      <c r="D8" s="580"/>
      <c r="E8" s="578"/>
      <c r="F8" s="581"/>
      <c r="G8" s="418"/>
      <c r="H8" s="750"/>
      <c r="I8" s="752"/>
      <c r="J8" s="1218"/>
      <c r="Q8" s="577">
        <v>6</v>
      </c>
    </row>
    <row s="21605"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21580"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3071">
        <v>45658.53239583333</v>
      </c>
      <c r="G11" s="418"/>
      <c r="H11" s="1114" t="s">
        <v>22</v>
      </c>
      <c r="J11" s="1217" t="s">
        <v>23</v>
      </c>
      <c r="Q11" s="415">
        <v>0</v>
      </c>
    </row>
    <row customHeight="1" ht="22.5">
      <c r="A12" s="2439"/>
      <c r="D12" s="416"/>
      <c r="E12" s="1506" t="s">
        <v>24</v>
      </c>
      <c r="F12" s="12196">
        <v>47118.5325</v>
      </c>
      <c r="G12" s="414"/>
      <c r="J12" s="1217" t="s">
        <v>25</v>
      </c>
      <c r="Q12" s="415">
        <v>0</v>
      </c>
    </row>
    <row s="21605" customFormat="1" customHeight="1" ht="22.5" hidden="1">
      <c r="A13" s="1129" t="s">
        <v>26</v>
      </c>
      <c r="B13" s="439"/>
      <c r="C13" s="749"/>
      <c r="D13" s="751"/>
      <c r="E13" s="2116" t="s">
        <v>27</v>
      </c>
      <c r="F13" s="2073" t="s">
        <v>28</v>
      </c>
      <c r="G13" s="418"/>
      <c r="H13" s="1111"/>
      <c r="I13" s="752"/>
      <c r="J13" s="2117" t="s">
        <v>29</v>
      </c>
      <c r="Q13" s="750">
        <v>0</v>
      </c>
    </row>
    <row s="21605" customFormat="1" customHeight="1" ht="27" hidden="1">
      <c r="A14" s="1129" t="s">
        <v>30</v>
      </c>
      <c r="B14" s="439"/>
      <c r="C14" s="749"/>
      <c r="D14" s="751"/>
      <c r="E14" s="1506" t="s">
        <v>31</v>
      </c>
      <c r="F14" s="2108"/>
      <c r="G14" s="418"/>
      <c r="H14" s="1111"/>
      <c r="I14" s="752"/>
      <c r="J14" s="1217" t="s">
        <v>32</v>
      </c>
      <c r="Q14" s="750">
        <v>0</v>
      </c>
    </row>
    <row s="21605" customFormat="1" customHeight="1" ht="19.5" hidden="1">
      <c r="A15" s="1129" t="s">
        <v>33</v>
      </c>
      <c r="B15" s="439"/>
      <c r="C15" s="749"/>
      <c r="D15" s="751"/>
      <c r="E15" s="1506" t="s">
        <v>34</v>
      </c>
      <c r="F15" s="2108"/>
      <c r="G15" s="418"/>
      <c r="H15" s="1111"/>
      <c r="I15" s="752"/>
      <c r="J15" s="1217" t="s">
        <v>35</v>
      </c>
      <c r="Q15" s="750">
        <v>0</v>
      </c>
    </row>
    <row s="21580" customFormat="1" customHeight="1" ht="6.3">
      <c r="A16" s="1126"/>
      <c r="B16" s="573"/>
      <c r="C16" s="574"/>
      <c r="D16" s="580"/>
      <c r="E16" s="578"/>
      <c r="F16" s="581"/>
      <c r="G16" s="418"/>
      <c r="H16" s="750"/>
      <c r="I16" s="752"/>
      <c r="J16" s="1215"/>
      <c r="Q16" s="577">
        <v>6</v>
      </c>
    </row>
    <row customHeight="1" ht="21">
      <c r="D17" s="416"/>
      <c r="E17" s="732" t="s">
        <v>36</v>
      </c>
      <c r="F17" s="12203" t="s">
        <v>37</v>
      </c>
      <c r="G17" s="414"/>
      <c r="H17" s="1114" t="s">
        <v>22</v>
      </c>
      <c r="Q17" s="415">
        <v>20</v>
      </c>
    </row>
    <row customHeight="1" ht="25.5">
      <c r="D18" s="416"/>
      <c r="E18" s="2116" t="s">
        <v>38</v>
      </c>
      <c r="F18" s="12204">
        <v>45408.51962962963</v>
      </c>
      <c r="G18" s="414"/>
      <c r="I18" s="1115"/>
      <c r="J18" s="2438" t="s">
        <v>39</v>
      </c>
      <c r="Q18" s="415">
        <v>0</v>
      </c>
    </row>
    <row customHeight="1" ht="25.5">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2207">
        <v>45658.51972222222</v>
      </c>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12196">
        <v>45044.456296296295</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c r="D26" s="416"/>
      <c r="E26" s="732" t="str">
        <f>"Дата "&amp;IF(TEMPLATE_GROUP="P","принятия решения","подачи заявления")&amp;" об изменении тарифов"</f>
        <v>Дата подачи заявления об изменении тарифов</v>
      </c>
      <c r="F26" s="12207">
        <v>45408.52040509259</v>
      </c>
      <c r="G26" s="414"/>
      <c r="Q26" s="415">
        <v>0</v>
      </c>
    </row>
    <row customHeight="1" ht="19.5">
      <c r="D27" s="416"/>
      <c r="E27" s="1506" t="str">
        <f>"Номер "&amp;IF(TEMPLATE_GROUP="P","принятия решения","заявления")&amp;" об изменении тарифов"</f>
        <v>Номер заявления об изменении тарифов</v>
      </c>
      <c r="F27" s="12213" t="s">
        <v>45</v>
      </c>
      <c r="G27" s="414"/>
      <c r="Q27" s="415">
        <v>0</v>
      </c>
    </row>
    <row customHeight="1" ht="24.75" hidden="1">
      <c r="D28" s="416"/>
      <c r="E28" s="732" t="s">
        <v>46</v>
      </c>
      <c r="F28" s="559"/>
      <c r="G28" s="414"/>
      <c r="Q28" s="415">
        <v>0</v>
      </c>
    </row>
    <row customHeight="1" ht="19.5" hidden="1">
      <c r="D29" s="416"/>
      <c r="E29" s="732" t="s">
        <v>43</v>
      </c>
      <c r="F29" s="559"/>
      <c r="G29" s="414"/>
      <c r="Q29" s="415">
        <v>0</v>
      </c>
    </row>
    <row s="21580"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47</v>
      </c>
      <c r="G31" s="1117"/>
      <c r="Q31" s="415">
        <v>20</v>
      </c>
    </row>
    <row customHeight="1" ht="21" hidden="1">
      <c r="C32" s="419"/>
      <c r="D32" s="420"/>
      <c r="E32" s="733" t="s">
        <v>48</v>
      </c>
      <c r="F32" s="558"/>
      <c r="G32" s="1117"/>
      <c r="Q32" s="415">
        <v>20</v>
      </c>
    </row>
    <row customHeight="1" ht="21">
      <c r="C33" s="419"/>
      <c r="D33" s="420"/>
      <c r="E33" s="732" t="s">
        <v>49</v>
      </c>
      <c r="F33" s="558" t="s">
        <v>50</v>
      </c>
      <c r="G33" s="1117"/>
      <c r="Q33" s="415">
        <v>20</v>
      </c>
    </row>
    <row customHeight="1" ht="21">
      <c r="C34" s="419"/>
      <c r="D34" s="420"/>
      <c r="E34" s="732" t="s">
        <v>51</v>
      </c>
      <c r="F34" s="558" t="s">
        <v>52</v>
      </c>
      <c r="G34" s="1117"/>
      <c r="H34" s="421"/>
      <c r="Q34" s="415">
        <v>20</v>
      </c>
    </row>
    <row s="21580" customFormat="1" customHeight="1" ht="11.549999999999999">
      <c r="A35" s="1126"/>
      <c r="B35" s="573"/>
      <c r="C35" s="574"/>
      <c r="D35" s="580"/>
      <c r="E35" s="578"/>
      <c r="F35" s="581"/>
      <c r="G35" s="418"/>
      <c r="H35" s="750"/>
      <c r="I35" s="752"/>
      <c r="J35" s="1215"/>
      <c r="Q35" s="577">
        <v>11</v>
      </c>
    </row>
    <row customHeight="1" ht="19.5" hidden="1">
      <c r="A36" s="1220"/>
      <c r="D36" s="420"/>
      <c r="E36" s="732" t="s">
        <v>53</v>
      </c>
      <c r="F36" s="689"/>
      <c r="G36" s="418"/>
      <c r="Q36" s="415">
        <v>0</v>
      </c>
    </row>
    <row customHeight="1" ht="21">
      <c r="A37" s="1220"/>
      <c r="D37" s="420"/>
      <c r="E37" s="732" t="s">
        <v>54</v>
      </c>
      <c r="F37" s="3098" t="s">
        <v>55</v>
      </c>
      <c r="G37" s="418"/>
      <c r="Q37" s="415">
        <v>20</v>
      </c>
    </row>
    <row s="21580"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22</v>
      </c>
      <c r="Q39" s="415">
        <v>35</v>
      </c>
    </row>
    <row s="21580" customFormat="1" customHeight="1" ht="6" hidden="1">
      <c r="A40" s="1125"/>
      <c r="B40" s="767"/>
      <c r="C40" s="768"/>
      <c r="D40" s="769"/>
      <c r="E40" s="770"/>
      <c r="F40" s="1394"/>
      <c r="G40" s="414"/>
      <c r="H40" s="750"/>
      <c r="I40" s="752"/>
      <c r="J40" s="1217"/>
      <c r="Q40" s="771">
        <v>6</v>
      </c>
    </row>
    <row s="21605"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1" t="s">
        <v>19</v>
      </c>
      <c r="G41" s="414"/>
      <c r="I41" s="752"/>
      <c r="J41" s="1217"/>
      <c r="Q41" s="750">
        <v>0</v>
      </c>
    </row>
    <row s="21580" customFormat="1" customHeight="1" ht="6" hidden="1">
      <c r="A42" s="1125"/>
      <c r="B42" s="767"/>
      <c r="C42" s="768"/>
      <c r="D42" s="769"/>
      <c r="E42" s="770"/>
      <c r="F42" s="1394"/>
      <c r="G42" s="414"/>
      <c r="H42" s="750"/>
      <c r="I42" s="752"/>
      <c r="J42" s="1215"/>
      <c r="Q42" s="771">
        <v>0</v>
      </c>
    </row>
    <row s="21605" customFormat="1" customHeight="1" ht="27" hidden="1">
      <c r="A43" s="1125"/>
      <c r="B43" s="754"/>
      <c r="C43" s="749"/>
      <c r="D43" s="751"/>
      <c r="E43" s="732" t="s">
        <v>57</v>
      </c>
      <c r="F43" s="1051" t="s">
        <v>19</v>
      </c>
      <c r="G43" s="414"/>
      <c r="I43" s="752"/>
      <c r="J43" s="1217"/>
      <c r="Q43" s="750">
        <v>0</v>
      </c>
    </row>
    <row s="21605" customFormat="1" customHeight="1" ht="27" hidden="1">
      <c r="A44" s="1125"/>
      <c r="B44" s="754"/>
      <c r="C44" s="749"/>
      <c r="D44" s="751"/>
      <c r="E44" s="1506" t="s">
        <v>58</v>
      </c>
      <c r="F44" s="2229"/>
      <c r="G44" s="414"/>
      <c r="I44" s="752"/>
      <c r="J44" s="1217"/>
      <c r="Q44" s="750">
        <v>0</v>
      </c>
    </row>
    <row s="21580" customFormat="1" customHeight="1" ht="6" hidden="1">
      <c r="A45" s="1125"/>
      <c r="B45" s="767"/>
      <c r="C45" s="768"/>
      <c r="D45" s="769"/>
      <c r="E45" s="770"/>
      <c r="F45" s="1394"/>
      <c r="G45" s="414"/>
      <c r="H45" s="750"/>
      <c r="I45" s="752"/>
      <c r="J45" s="1217"/>
      <c r="Q45" s="771">
        <v>0</v>
      </c>
    </row>
    <row s="21580" customFormat="1" customHeight="1" ht="24.75" hidden="1">
      <c r="A46" s="1125"/>
      <c r="B46" s="767"/>
      <c r="C46" s="768"/>
      <c r="D46" s="769"/>
      <c r="E46" s="1506" t="s">
        <v>59</v>
      </c>
      <c r="F46" s="1051" t="s">
        <v>19</v>
      </c>
      <c r="G46" s="414"/>
      <c r="H46" s="750"/>
      <c r="I46" s="752"/>
      <c r="J46" s="1217"/>
      <c r="Q46" s="771">
        <v>0</v>
      </c>
    </row>
    <row s="21605" customFormat="1" customHeight="1" ht="24.75" hidden="1">
      <c r="A47" s="1125"/>
      <c r="B47" s="754"/>
      <c r="C47" s="749"/>
      <c r="D47" s="751"/>
      <c r="E47" s="1506" t="s">
        <v>60</v>
      </c>
      <c r="F47" s="1051" t="s">
        <v>19</v>
      </c>
      <c r="G47" s="414"/>
      <c r="I47" s="752"/>
      <c r="J47" s="1217"/>
      <c r="Q47" s="750">
        <v>0</v>
      </c>
    </row>
    <row s="21580"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1"/>
      <c r="G49" s="414"/>
      <c r="Q49" s="415">
        <v>0</v>
      </c>
    </row>
    <row s="21580" customFormat="1" customHeight="1" ht="6" hidden="1">
      <c r="A50" s="1126"/>
      <c r="B50" s="767"/>
      <c r="C50" s="768"/>
      <c r="D50" s="580"/>
      <c r="E50" s="578"/>
      <c r="F50" s="581"/>
      <c r="G50" s="418"/>
      <c r="H50" s="750"/>
      <c r="I50" s="752"/>
      <c r="J50" s="1217"/>
      <c r="Q50" s="771">
        <v>0</v>
      </c>
    </row>
    <row s="21605" customFormat="1" customHeight="1" ht="28.5" hidden="1">
      <c r="A51" s="1127"/>
      <c r="B51" s="754"/>
      <c r="C51" s="871"/>
      <c r="D51" s="872"/>
      <c r="E51" s="732" t="s">
        <v>61</v>
      </c>
      <c r="F51" s="1051" t="s">
        <v>19</v>
      </c>
      <c r="G51" s="873"/>
      <c r="I51" s="875"/>
      <c r="J51" s="1219"/>
      <c r="P51" s="876"/>
      <c r="Q51" s="874">
        <v>0</v>
      </c>
    </row>
    <row s="21580" customFormat="1" customHeight="1" ht="6" hidden="1">
      <c r="A52" s="1126"/>
      <c r="B52" s="767"/>
      <c r="C52" s="768"/>
      <c r="D52" s="580"/>
      <c r="E52" s="578"/>
      <c r="F52" s="581"/>
      <c r="G52" s="418"/>
      <c r="H52" s="750"/>
      <c r="I52" s="752"/>
      <c r="J52" s="1215"/>
      <c r="Q52" s="771">
        <v>0</v>
      </c>
    </row>
    <row s="21605" customFormat="1" customHeight="1" ht="27" hidden="1">
      <c r="A53" s="1127"/>
      <c r="B53" s="754"/>
      <c r="C53" s="871"/>
      <c r="D53" s="872"/>
      <c r="E53" s="732" t="s">
        <v>62</v>
      </c>
      <c r="F53" s="1389" t="s">
        <v>19</v>
      </c>
      <c r="G53" s="873"/>
      <c r="I53" s="875"/>
      <c r="J53" s="1219"/>
      <c r="P53" s="876"/>
      <c r="Q53" s="874">
        <v>0</v>
      </c>
    </row>
    <row s="21605" customFormat="1" customHeight="1" ht="27" hidden="1">
      <c r="A54" s="1127"/>
      <c r="B54" s="754"/>
      <c r="C54" s="871"/>
      <c r="D54" s="872"/>
      <c r="E54" s="732" t="s">
        <v>63</v>
      </c>
      <c r="F54" s="2115"/>
      <c r="G54" s="873"/>
      <c r="I54" s="875"/>
      <c r="J54" s="1219"/>
      <c r="P54" s="876"/>
      <c r="Q54" s="874">
        <v>0</v>
      </c>
    </row>
    <row s="21580" customFormat="1" customHeight="1" ht="6" hidden="1">
      <c r="A55" s="1126"/>
      <c r="B55" s="767"/>
      <c r="C55" s="768"/>
      <c r="D55" s="580"/>
      <c r="E55" s="578"/>
      <c r="F55" s="581"/>
      <c r="G55" s="418"/>
      <c r="H55" s="750"/>
      <c r="I55" s="752"/>
      <c r="J55" s="1215"/>
      <c r="Q55" s="771">
        <v>0</v>
      </c>
    </row>
    <row s="21605" customFormat="1" customHeight="1" ht="25.5" hidden="1">
      <c r="A56" s="1127"/>
      <c r="B56" s="754"/>
      <c r="C56" s="871"/>
      <c r="D56" s="872"/>
      <c r="E56" s="732" t="s">
        <v>64</v>
      </c>
      <c r="F56" s="1389" t="s">
        <v>19</v>
      </c>
      <c r="G56" s="873"/>
      <c r="I56" s="875"/>
      <c r="J56" s="1219"/>
      <c r="P56" s="876"/>
      <c r="Q56" s="874">
        <v>0</v>
      </c>
    </row>
    <row s="21580" customFormat="1" customHeight="1" ht="6" hidden="1">
      <c r="A57" s="1126"/>
      <c r="B57" s="767"/>
      <c r="C57" s="768"/>
      <c r="D57" s="580"/>
      <c r="E57" s="578"/>
      <c r="F57" s="581"/>
      <c r="G57" s="418"/>
      <c r="H57" s="750"/>
      <c r="I57" s="752"/>
      <c r="J57" s="1215"/>
      <c r="Q57" s="771">
        <v>0</v>
      </c>
    </row>
    <row s="21605" customFormat="1" customHeight="1" ht="15" hidden="1">
      <c r="A58" s="1127"/>
      <c r="B58" s="754"/>
      <c r="C58" s="871"/>
      <c r="D58" s="872"/>
      <c r="E58" s="732" t="s">
        <v>65</v>
      </c>
      <c r="F58" s="1389" t="s">
        <v>66</v>
      </c>
      <c r="G58" s="873"/>
      <c r="I58" s="875"/>
      <c r="J58" s="1219"/>
      <c r="P58" s="876"/>
      <c r="Q58" s="874">
        <v>0</v>
      </c>
    </row>
    <row s="21605"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0"/>
      <c r="G59" s="873"/>
      <c r="I59" s="875"/>
      <c r="J59" s="1219"/>
      <c r="P59" s="876"/>
      <c r="Q59" s="874">
        <v>0</v>
      </c>
    </row>
    <row s="21605" customFormat="1" customHeight="1" ht="15" hidden="1">
      <c r="A60" s="1127"/>
      <c r="B60" s="754"/>
      <c r="C60" s="871"/>
      <c r="D60" s="872"/>
      <c r="E60" s="1506" t="s">
        <v>67</v>
      </c>
      <c r="F60" s="1492"/>
      <c r="G60" s="873"/>
      <c r="I60" s="875"/>
      <c r="J60" s="1219"/>
      <c r="P60" s="876"/>
      <c r="Q60" s="874">
        <v>0</v>
      </c>
    </row>
    <row s="21580" customFormat="1" customHeight="1" ht="6" hidden="1">
      <c r="A61" s="1126"/>
      <c r="B61" s="767"/>
      <c r="C61" s="768"/>
      <c r="D61" s="769"/>
      <c r="E61" s="770"/>
      <c r="F61" s="1394"/>
      <c r="G61" s="414"/>
      <c r="H61" s="750"/>
      <c r="I61" s="752"/>
      <c r="J61" s="1217"/>
      <c r="Q61" s="771">
        <v>0</v>
      </c>
    </row>
    <row s="21605" customFormat="1" customHeight="1" ht="33.75" hidden="1">
      <c r="A62" s="1126"/>
      <c r="B62" s="439"/>
      <c r="C62" s="749"/>
      <c r="D62" s="751"/>
      <c r="E62" s="1506" t="s">
        <v>68</v>
      </c>
      <c r="F62" s="2012" t="s">
        <v>66</v>
      </c>
      <c r="G62" s="414"/>
      <c r="H62" s="1114" t="s">
        <v>22</v>
      </c>
      <c r="I62" s="752"/>
      <c r="J62" s="1217"/>
      <c r="Q62" s="750">
        <v>0</v>
      </c>
    </row>
    <row s="21580"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3126"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7D3503-448B-C4B8-5453-89322D9D5902}"/>
    <hyperlink ref="H17" location="Титульный!H9" display="Как заполнить?" tooltip="Помощь по работе с полями отчётной формы" xr:uid="{7F7EF601-4EA2-F984-8B78-64DE42057945}"/>
    <hyperlink ref="H39" location="Титульный!H9" display="Как заполнить?" tooltip="Помощь по работе с полями отчётной формы" xr:uid="{2D8AE2A7-FBAA-6933-0F13-E073F8B613D3}"/>
    <hyperlink ref="H62" location="Титульный!H9" display="Как заполнить?" tooltip="Помощь по работе с полями отчётной формы" xr:uid="{515BE58C-77F4-CA7E-5201-72D4060A31CD}"/>
    <hyperlink ref="F70" r:id="rId4" xr:uid="{209DA8E3-56B8-155D-3EFA-B21ABB1F9D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9C266-EF13-F5DC-CE9F-9D35F30299F7}" mc:Ignorable="x14ac xr xr2 xr3">
  <sheetPr>
    <tabColor rgb="FFCCCCFF"/>
    <pageSetUpPr fitToPage="1"/>
  </sheetPr>
  <dimension ref="A1:AC59"/>
  <sheetViews>
    <sheetView topLeftCell="A1" showGridLines="0" zoomScale="90" workbookViewId="0">
      <selection activeCell="H44" sqref="H44"/>
    </sheetView>
  </sheetViews>
  <sheetFormatPr defaultColWidth="9.140625" customHeight="1" defaultRowHeight="14.25"/>
  <cols>
    <col min="1" max="1" style="21605" width="8.00390625" hidden="1" customWidth="1"/>
    <col min="2" max="2" style="21687" width="6.00390625" hidden="1" customWidth="1"/>
    <col min="3" max="3" style="21605" width="3.00390625" customWidth="1"/>
    <col min="4" max="4" style="21787" width="3.00390625" customWidth="1"/>
    <col min="5" max="5" style="21605" width="6.00390625" customWidth="1"/>
    <col min="6" max="6" style="21605" width="2.7109375" hidden="1" customWidth="1"/>
    <col min="7" max="7" style="21605" width="46.7109375" customWidth="1"/>
    <col min="8" max="8" style="21605" width="42.00390625" customWidth="1"/>
    <col min="9" max="9" style="21605" width="14.00390625" customWidth="1"/>
    <col min="10" max="10" style="21788" width="3.00390625" customWidth="1"/>
    <col min="11" max="13" style="21788" width="9.140625" hidden="1"/>
    <col min="14" max="14" style="21788" width="25.7109375" hidden="1" customWidth="1"/>
    <col min="15" max="15" style="21788" width="14.421875" hidden="1" customWidth="1"/>
    <col min="16" max="19" style="21789" width="9.140625" hidden="1"/>
    <col min="20" max="27" style="21605" width="9.140625" hidden="1"/>
    <col min="28" max="28" style="21605" width="8.00390625" customWidth="1"/>
    <col min="29" max="29" style="21605" width="9.140625" hidden="1"/>
  </cols>
  <sheetData>
    <row s="21688"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21697"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21703" customFormat="1" customHeight="1" ht="3">
      <c r="A3" s="1099"/>
      <c r="B3" s="758"/>
      <c r="C3" s="1099"/>
      <c r="D3" s="505"/>
      <c r="E3" s="444"/>
      <c r="F3" s="850"/>
      <c r="G3" s="444"/>
      <c r="H3" s="444"/>
      <c r="I3" s="507"/>
      <c r="J3" s="588"/>
      <c r="K3" s="496"/>
      <c r="L3" s="496"/>
      <c r="M3" s="496"/>
      <c r="N3" s="567"/>
      <c r="O3" s="496"/>
      <c r="P3" s="566"/>
      <c r="Q3" s="566"/>
      <c r="R3" s="566"/>
      <c r="S3" s="566"/>
      <c r="AC3" s="457">
        <v>3</v>
      </c>
    </row>
    <row s="21703"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21703" customFormat="1" customHeight="1" ht="3">
      <c r="A5" s="1099"/>
      <c r="B5" s="758"/>
      <c r="C5" s="1099"/>
      <c r="D5" s="505"/>
      <c r="E5" s="444"/>
      <c r="F5" s="850"/>
      <c r="G5" s="508"/>
      <c r="H5" s="508"/>
      <c r="I5" s="509"/>
      <c r="J5" s="496"/>
      <c r="K5" s="496"/>
      <c r="L5" s="496"/>
      <c r="M5" s="496"/>
      <c r="N5" s="567"/>
      <c r="O5" s="496"/>
      <c r="P5" s="566"/>
      <c r="Q5" s="566"/>
      <c r="R5" s="566"/>
      <c r="S5" s="566"/>
      <c r="AC5" s="457">
        <v>3</v>
      </c>
    </row>
    <row s="21703"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21703"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21703"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21703"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21703"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21748" customFormat="1" customHeight="1" ht="15.75">
      <c r="A13" s="2440"/>
      <c r="B13" s="758">
        <v>1</v>
      </c>
      <c r="C13" s="758"/>
      <c r="D13" s="1141"/>
      <c r="E13" s="1121" t="str">
        <f>A12&amp;"."&amp;B13</f>
        <v>1.1</v>
      </c>
      <c r="F13" s="1136" t="s">
        <v>99</v>
      </c>
      <c r="G13" s="1134" t="s">
        <v>100</v>
      </c>
      <c r="H13" s="1134" t="s">
        <v>100</v>
      </c>
      <c r="I13" s="1132" t="s">
        <v>101</v>
      </c>
      <c r="J13" s="841">
        <f>MERGEVALUE(G13)</f>
      </c>
      <c r="K13" s="852"/>
      <c r="L13" s="852"/>
      <c r="M13" s="841" t="str">
        <f t="array" ref="M13:M13">IF(ISERROR(MATCH(MID(N13,1,250),MID(note_ter,1,250),0)),"n","y")</f>
        <v>n</v>
      </c>
      <c r="N13" s="852"/>
      <c r="O13" s="841" t="str">
        <f>H13&amp;"("&amp;I13&amp;")"</f>
        <v>Хасанский муниципальный округ(05548000)</v>
      </c>
      <c r="P13" s="758"/>
      <c r="Q13" s="758"/>
      <c r="R13" s="761"/>
      <c r="S13" s="758"/>
      <c r="T13" s="758"/>
      <c r="U13" s="758"/>
      <c r="V13" s="763"/>
      <c r="W13" s="763"/>
      <c r="X13" s="760"/>
      <c r="Y13" s="760"/>
      <c r="Z13" s="760"/>
      <c r="AA13" s="760"/>
      <c r="AB13" s="760"/>
      <c r="AC13" s="764">
        <v>15</v>
      </c>
    </row>
    <row s="21748"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103</v>
      </c>
      <c r="B15" s="1501"/>
      <c r="C15" s="1142" t="s">
        <v>104</v>
      </c>
      <c r="D15" s="2159"/>
      <c r="E15" s="2146" t="str">
        <f>A15</f>
        <v>2</v>
      </c>
      <c r="F15" s="1145" t="s">
        <v>105</v>
      </c>
      <c r="G15" s="881" t="str">
        <f>"Территория "&amp;E15</f>
        <v>Территория 2</v>
      </c>
      <c r="H15" s="1133"/>
      <c r="I15" s="1133"/>
      <c r="J15" s="1130"/>
      <c r="K15" s="1965"/>
      <c r="L15" s="1965"/>
      <c r="M15" s="1965"/>
      <c r="N15" s="567"/>
      <c r="O15" s="1965"/>
      <c r="P15" s="566"/>
      <c r="Q15" s="566"/>
      <c r="R15" s="566"/>
      <c r="S15" s="566"/>
      <c r="T15" s="6044"/>
      <c r="U15" s="6044"/>
      <c r="V15" s="6044"/>
      <c r="W15" s="6044"/>
      <c r="X15" s="6044"/>
      <c r="Y15" s="6044"/>
      <c r="Z15" s="6044"/>
      <c r="AA15" s="6044"/>
      <c r="AB15" s="6044"/>
      <c r="AC15" s="6044"/>
    </row>
    <row customHeight="1" ht="15">
      <c r="A16" s="2558"/>
      <c r="B16" s="1501">
        <v>1</v>
      </c>
      <c r="C16" s="1501"/>
      <c r="D16" s="1141"/>
      <c r="E16" s="2154" t="str">
        <f>A15&amp;"."&amp;B16</f>
        <v>2.1</v>
      </c>
      <c r="F16" s="1144" t="s">
        <v>106</v>
      </c>
      <c r="G16" s="1134" t="s">
        <v>107</v>
      </c>
      <c r="H16" s="1134" t="s">
        <v>107</v>
      </c>
      <c r="I16" s="1132" t="s">
        <v>108</v>
      </c>
      <c r="J16" s="1965"/>
      <c r="K16" s="1977"/>
      <c r="L16" s="1977"/>
      <c r="M16" s="1965" t="str">
        <f t="array" ref="M16:M16">IF(ISERROR(MATCH(MID(N16,1,250),MID(note_ter,1,250),0)),"n","y")</f>
        <v>n</v>
      </c>
      <c r="N16" s="1977"/>
      <c r="O16" s="1965" t="str">
        <f>H16&amp;"("&amp;I16&amp;")"</f>
        <v>Шкотовский муниципальный округ(05557000)</v>
      </c>
      <c r="P16" s="1501"/>
      <c r="Q16" s="1501"/>
      <c r="R16" s="761"/>
      <c r="S16" s="1501"/>
      <c r="T16" s="1501"/>
      <c r="U16" s="1501"/>
      <c r="V16" s="763"/>
      <c r="W16" s="763"/>
      <c r="X16" s="760"/>
      <c r="Y16" s="760"/>
      <c r="Z16" s="760"/>
      <c r="AA16" s="760"/>
      <c r="AB16" s="760"/>
      <c r="AC16" s="760"/>
    </row>
    <row customHeight="1" ht="15">
      <c r="A17" s="2558"/>
      <c r="B17" s="1501"/>
      <c r="C17" s="753"/>
      <c r="D17" s="1142"/>
      <c r="E17" s="762"/>
      <c r="F17" s="518"/>
      <c r="G17" s="756" t="s">
        <v>102</v>
      </c>
      <c r="H17" s="528"/>
      <c r="I17" s="765"/>
      <c r="J17" s="1977"/>
      <c r="K17" s="1977"/>
      <c r="L17" s="1977"/>
      <c r="M17" s="1977"/>
      <c r="N17" s="1965"/>
      <c r="O17" s="1977"/>
      <c r="P17" s="1501"/>
      <c r="Q17" s="1501"/>
      <c r="R17" s="761"/>
      <c r="S17" s="1501"/>
      <c r="T17" s="1501"/>
      <c r="U17" s="1501"/>
      <c r="V17" s="763"/>
      <c r="W17" s="763"/>
      <c r="X17" s="760"/>
      <c r="Y17" s="760"/>
      <c r="Z17" s="760"/>
      <c r="AA17" s="760"/>
      <c r="AB17" s="760"/>
      <c r="AC17" s="760"/>
    </row>
    <row customHeight="1" ht="15">
      <c r="A18" s="2558" t="s">
        <v>90</v>
      </c>
      <c r="B18" s="1501"/>
      <c r="C18" s="1142" t="s">
        <v>104</v>
      </c>
      <c r="D18" s="2159"/>
      <c r="E18" s="2146" t="str">
        <f>A18</f>
        <v>3</v>
      </c>
      <c r="F18" s="1145" t="s">
        <v>109</v>
      </c>
      <c r="G18" s="881" t="str">
        <f>"Территория "&amp;E18</f>
        <v>Территория 3</v>
      </c>
      <c r="H18" s="1133"/>
      <c r="I18" s="1133"/>
      <c r="J18" s="1130"/>
      <c r="K18" s="1965"/>
      <c r="L18" s="1965"/>
      <c r="M18" s="1965"/>
      <c r="N18" s="567"/>
      <c r="O18" s="1965"/>
      <c r="P18" s="566"/>
      <c r="Q18" s="566"/>
      <c r="R18" s="566"/>
      <c r="S18" s="566"/>
      <c r="T18" s="12352"/>
      <c r="U18" s="12352"/>
      <c r="V18" s="12352"/>
      <c r="W18" s="12352"/>
      <c r="X18" s="12352"/>
      <c r="Y18" s="12352"/>
      <c r="Z18" s="12352"/>
      <c r="AA18" s="12352"/>
      <c r="AB18" s="12352"/>
      <c r="AC18" s="12352"/>
    </row>
    <row customHeight="1" ht="15">
      <c r="A19" s="2558"/>
      <c r="B19" s="1501">
        <v>1</v>
      </c>
      <c r="C19" s="1501"/>
      <c r="D19" s="1141"/>
      <c r="E19" s="2154" t="str">
        <f>A18&amp;"."&amp;B19</f>
        <v>3.1</v>
      </c>
      <c r="F19" s="1144" t="s">
        <v>93</v>
      </c>
      <c r="G19" s="1134" t="s">
        <v>110</v>
      </c>
      <c r="H19" s="1134" t="s">
        <v>110</v>
      </c>
      <c r="I19" s="1132" t="s">
        <v>111</v>
      </c>
      <c r="J19" s="1965"/>
      <c r="K19" s="1977"/>
      <c r="L19" s="1977"/>
      <c r="M19" s="1965" t="str">
        <f t="array" ref="M19:M19">IF(ISERROR(MATCH(MID(N19,1,250),MID(note_ter,1,250),0)),"n","y")</f>
        <v>n</v>
      </c>
      <c r="N19" s="1977"/>
      <c r="O19" s="1965" t="str">
        <f>H19&amp;"("&amp;I19&amp;")"</f>
        <v>Дальнереченский городской округ(05708000)</v>
      </c>
      <c r="P19" s="1501"/>
      <c r="Q19" s="1501"/>
      <c r="R19" s="761"/>
      <c r="S19" s="1501"/>
      <c r="T19" s="1501"/>
      <c r="U19" s="1501"/>
      <c r="V19" s="763"/>
      <c r="W19" s="763"/>
      <c r="X19" s="760"/>
      <c r="Y19" s="760"/>
      <c r="Z19" s="760"/>
      <c r="AA19" s="760"/>
      <c r="AB19" s="760"/>
      <c r="AC19" s="760"/>
    </row>
    <row customHeight="1" ht="15">
      <c r="A20" s="2558"/>
      <c r="B20" s="1501"/>
      <c r="C20" s="753"/>
      <c r="D20" s="1142"/>
      <c r="E20" s="762"/>
      <c r="F20" s="518"/>
      <c r="G20" s="756" t="s">
        <v>102</v>
      </c>
      <c r="H20" s="528"/>
      <c r="I20" s="765"/>
      <c r="J20" s="1977"/>
      <c r="K20" s="1977"/>
      <c r="L20" s="1977"/>
      <c r="M20" s="1977"/>
      <c r="N20" s="1965"/>
      <c r="O20" s="1977"/>
      <c r="P20" s="1501"/>
      <c r="Q20" s="1501"/>
      <c r="R20" s="761"/>
      <c r="S20" s="1501"/>
      <c r="T20" s="1501"/>
      <c r="U20" s="1501"/>
      <c r="V20" s="763"/>
      <c r="W20" s="763"/>
      <c r="X20" s="760"/>
      <c r="Y20" s="760"/>
      <c r="Z20" s="760"/>
      <c r="AA20" s="760"/>
      <c r="AB20" s="760"/>
      <c r="AC20" s="760"/>
    </row>
    <row customHeight="1" ht="15">
      <c r="A21" s="2558" t="s">
        <v>91</v>
      </c>
      <c r="B21" s="1501"/>
      <c r="C21" s="1142" t="s">
        <v>104</v>
      </c>
      <c r="D21" s="2159"/>
      <c r="E21" s="2146" t="str">
        <f>A21</f>
        <v>4</v>
      </c>
      <c r="F21" s="1145" t="s">
        <v>112</v>
      </c>
      <c r="G21" s="881" t="str">
        <f>"Территория "&amp;E21</f>
        <v>Территория 4</v>
      </c>
      <c r="H21" s="1133"/>
      <c r="I21" s="1133"/>
      <c r="J21" s="1130"/>
      <c r="K21" s="1965"/>
      <c r="L21" s="1965"/>
      <c r="M21" s="1965"/>
      <c r="N21" s="567"/>
      <c r="O21" s="1965"/>
      <c r="P21" s="566"/>
      <c r="Q21" s="566"/>
      <c r="R21" s="566"/>
      <c r="S21" s="566"/>
      <c r="T21" s="12352"/>
      <c r="U21" s="12352"/>
      <c r="V21" s="12352"/>
      <c r="W21" s="12352"/>
      <c r="X21" s="12352"/>
      <c r="Y21" s="12352"/>
      <c r="Z21" s="12352"/>
      <c r="AA21" s="12352"/>
      <c r="AB21" s="12352"/>
      <c r="AC21" s="12352"/>
    </row>
    <row customHeight="1" ht="15">
      <c r="A22" s="2558"/>
      <c r="B22" s="1501">
        <v>1</v>
      </c>
      <c r="C22" s="1501"/>
      <c r="D22" s="1141"/>
      <c r="E22" s="2154" t="str">
        <f>A21&amp;"."&amp;B22</f>
        <v>4.1</v>
      </c>
      <c r="F22" s="1144" t="s">
        <v>113</v>
      </c>
      <c r="G22" s="1134" t="s">
        <v>114</v>
      </c>
      <c r="H22" s="1134" t="s">
        <v>114</v>
      </c>
      <c r="I22" s="1132" t="s">
        <v>115</v>
      </c>
      <c r="J22" s="1965"/>
      <c r="K22" s="1977"/>
      <c r="L22" s="1977"/>
      <c r="M22" s="1965" t="str">
        <f t="array" ref="M22:M22">IF(ISERROR(MATCH(MID(N22,1,250),MID(note_ter,1,250),0)),"n","y")</f>
        <v>n</v>
      </c>
      <c r="N22" s="1977"/>
      <c r="O22" s="1965" t="str">
        <f>H22&amp;"("&amp;I22&amp;")"</f>
        <v>Красноармейский муниципальный округ(05514000)</v>
      </c>
      <c r="P22" s="1501"/>
      <c r="Q22" s="1501"/>
      <c r="R22" s="761"/>
      <c r="S22" s="1501"/>
      <c r="T22" s="1501"/>
      <c r="U22" s="1501"/>
      <c r="V22" s="763"/>
      <c r="W22" s="763"/>
      <c r="X22" s="760"/>
      <c r="Y22" s="760"/>
      <c r="Z22" s="760"/>
      <c r="AA22" s="760"/>
      <c r="AB22" s="760"/>
      <c r="AC22" s="760"/>
    </row>
    <row customHeight="1" ht="15">
      <c r="A23" s="2558"/>
      <c r="B23" s="1501"/>
      <c r="C23" s="753"/>
      <c r="D23" s="1142"/>
      <c r="E23" s="762"/>
      <c r="F23" s="518"/>
      <c r="G23" s="756" t="s">
        <v>102</v>
      </c>
      <c r="H23" s="528"/>
      <c r="I23" s="765"/>
      <c r="J23" s="1977"/>
      <c r="K23" s="1977"/>
      <c r="L23" s="1977"/>
      <c r="M23" s="1977"/>
      <c r="N23" s="1965"/>
      <c r="O23" s="1977"/>
      <c r="P23" s="1501"/>
      <c r="Q23" s="1501"/>
      <c r="R23" s="761"/>
      <c r="S23" s="1501"/>
      <c r="T23" s="1501"/>
      <c r="U23" s="1501"/>
      <c r="V23" s="763"/>
      <c r="W23" s="763"/>
      <c r="X23" s="760"/>
      <c r="Y23" s="760"/>
      <c r="Z23" s="760"/>
      <c r="AA23" s="760"/>
      <c r="AB23" s="760"/>
      <c r="AC23" s="760"/>
    </row>
    <row customHeight="1" ht="15">
      <c r="A24" s="2558" t="s">
        <v>116</v>
      </c>
      <c r="B24" s="1501"/>
      <c r="C24" s="1142" t="s">
        <v>104</v>
      </c>
      <c r="D24" s="2159"/>
      <c r="E24" s="2146" t="str">
        <f>A24</f>
        <v>5</v>
      </c>
      <c r="F24" s="1145" t="s">
        <v>117</v>
      </c>
      <c r="G24" s="881" t="str">
        <f>"Территория "&amp;E24</f>
        <v>Территория 5</v>
      </c>
      <c r="H24" s="1133"/>
      <c r="I24" s="1133"/>
      <c r="J24" s="1130"/>
      <c r="K24" s="1965"/>
      <c r="L24" s="1965"/>
      <c r="M24" s="1965"/>
      <c r="N24" s="567"/>
      <c r="O24" s="1965"/>
      <c r="P24" s="566"/>
      <c r="Q24" s="566"/>
      <c r="R24" s="566"/>
      <c r="S24" s="566"/>
      <c r="T24" s="12352"/>
      <c r="U24" s="12352"/>
      <c r="V24" s="12352"/>
      <c r="W24" s="12352"/>
      <c r="X24" s="12352"/>
      <c r="Y24" s="12352"/>
      <c r="Z24" s="12352"/>
      <c r="AA24" s="12352"/>
      <c r="AB24" s="12352"/>
      <c r="AC24" s="12352"/>
    </row>
    <row customHeight="1" ht="15">
      <c r="A25" s="2558"/>
      <c r="B25" s="1501">
        <v>1</v>
      </c>
      <c r="C25" s="1501"/>
      <c r="D25" s="1141"/>
      <c r="E25" s="2154" t="str">
        <f>A24&amp;"."&amp;B25</f>
        <v>5.1</v>
      </c>
      <c r="F25" s="1144" t="s">
        <v>118</v>
      </c>
      <c r="G25" s="1134" t="s">
        <v>119</v>
      </c>
      <c r="H25" s="1134" t="s">
        <v>119</v>
      </c>
      <c r="I25" s="1132" t="s">
        <v>120</v>
      </c>
      <c r="J25" s="1965"/>
      <c r="K25" s="1977"/>
      <c r="L25" s="1977"/>
      <c r="M25" s="1965" t="str">
        <f t="array" ref="M25:M25">IF(ISERROR(MATCH(MID(N25,1,250),MID(note_ter,1,250),0)),"n","y")</f>
        <v>n</v>
      </c>
      <c r="N25" s="1977"/>
      <c r="O25" s="1965" t="str">
        <f>H25&amp;"("&amp;I25&amp;")"</f>
        <v>Кавалеровский муниципальный округ(05510000)</v>
      </c>
      <c r="P25" s="1501"/>
      <c r="Q25" s="1501"/>
      <c r="R25" s="761"/>
      <c r="S25" s="1501"/>
      <c r="T25" s="1501"/>
      <c r="U25" s="1501"/>
      <c r="V25" s="763"/>
      <c r="W25" s="763"/>
      <c r="X25" s="760"/>
      <c r="Y25" s="760"/>
      <c r="Z25" s="760"/>
      <c r="AA25" s="760"/>
      <c r="AB25" s="760"/>
      <c r="AC25" s="760"/>
    </row>
    <row customHeight="1" ht="15">
      <c r="A26" s="2558"/>
      <c r="B26" s="1501"/>
      <c r="C26" s="753"/>
      <c r="D26" s="1142"/>
      <c r="E26" s="762"/>
      <c r="F26" s="518"/>
      <c r="G26" s="756" t="s">
        <v>102</v>
      </c>
      <c r="H26" s="528"/>
      <c r="I26" s="765"/>
      <c r="J26" s="1977"/>
      <c r="K26" s="1977"/>
      <c r="L26" s="1977"/>
      <c r="M26" s="1977"/>
      <c r="N26" s="1965"/>
      <c r="O26" s="1977"/>
      <c r="P26" s="1501"/>
      <c r="Q26" s="1501"/>
      <c r="R26" s="761"/>
      <c r="S26" s="1501"/>
      <c r="T26" s="1501"/>
      <c r="U26" s="1501"/>
      <c r="V26" s="763"/>
      <c r="W26" s="763"/>
      <c r="X26" s="760"/>
      <c r="Y26" s="760"/>
      <c r="Z26" s="760"/>
      <c r="AA26" s="760"/>
      <c r="AB26" s="760"/>
      <c r="AC26" s="760"/>
    </row>
    <row customHeight="1" ht="15">
      <c r="A27" s="2558" t="s">
        <v>92</v>
      </c>
      <c r="B27" s="1501"/>
      <c r="C27" s="1142" t="s">
        <v>104</v>
      </c>
      <c r="D27" s="2159"/>
      <c r="E27" s="2146" t="str">
        <f>A27</f>
        <v>6</v>
      </c>
      <c r="F27" s="1145" t="s">
        <v>121</v>
      </c>
      <c r="G27" s="881" t="str">
        <f>"Территория "&amp;E27</f>
        <v>Территория 6</v>
      </c>
      <c r="H27" s="1133"/>
      <c r="I27" s="1133"/>
      <c r="J27" s="1130"/>
      <c r="K27" s="1965"/>
      <c r="L27" s="1965"/>
      <c r="M27" s="1965"/>
      <c r="N27" s="567"/>
      <c r="O27" s="1965"/>
      <c r="P27" s="566"/>
      <c r="Q27" s="566"/>
      <c r="R27" s="566"/>
      <c r="S27" s="566"/>
      <c r="T27" s="12352"/>
      <c r="U27" s="12352"/>
      <c r="V27" s="12352"/>
      <c r="W27" s="12352"/>
      <c r="X27" s="12352"/>
      <c r="Y27" s="12352"/>
      <c r="Z27" s="12352"/>
      <c r="AA27" s="12352"/>
      <c r="AB27" s="12352"/>
      <c r="AC27" s="12352"/>
    </row>
    <row customHeight="1" ht="15">
      <c r="A28" s="2558"/>
      <c r="B28" s="1501">
        <v>1</v>
      </c>
      <c r="C28" s="1501"/>
      <c r="D28" s="1141"/>
      <c r="E28" s="2154" t="str">
        <f>A27&amp;"."&amp;B28</f>
        <v>6.1</v>
      </c>
      <c r="F28" s="1144" t="s">
        <v>92</v>
      </c>
      <c r="G28" s="1134" t="s">
        <v>122</v>
      </c>
      <c r="H28" s="1134" t="s">
        <v>122</v>
      </c>
      <c r="I28" s="1132" t="s">
        <v>123</v>
      </c>
      <c r="J28" s="1965"/>
      <c r="K28" s="1977"/>
      <c r="L28" s="1977"/>
      <c r="M28" s="1965" t="str">
        <f t="array" ref="M28:M28">IF(ISERROR(MATCH(MID(N28,1,250),MID(note_ter,1,250),0)),"n","y")</f>
        <v>n</v>
      </c>
      <c r="N28" s="1977"/>
      <c r="O28" s="1965" t="str">
        <f>H28&amp;"("&amp;I28&amp;")"</f>
        <v>Дальнегорский городской округ(05707000)</v>
      </c>
      <c r="P28" s="1501"/>
      <c r="Q28" s="1501"/>
      <c r="R28" s="761"/>
      <c r="S28" s="1501"/>
      <c r="T28" s="1501"/>
      <c r="U28" s="1501"/>
      <c r="V28" s="763"/>
      <c r="W28" s="763"/>
      <c r="X28" s="760"/>
      <c r="Y28" s="760"/>
      <c r="Z28" s="760"/>
      <c r="AA28" s="760"/>
      <c r="AB28" s="760"/>
      <c r="AC28" s="760"/>
    </row>
    <row customHeight="1" ht="15">
      <c r="A29" s="2558"/>
      <c r="B29" s="1501"/>
      <c r="C29" s="753"/>
      <c r="D29" s="1142"/>
      <c r="E29" s="762"/>
      <c r="F29" s="518"/>
      <c r="G29" s="756" t="s">
        <v>102</v>
      </c>
      <c r="H29" s="528"/>
      <c r="I29" s="765"/>
      <c r="J29" s="1977"/>
      <c r="K29" s="1977"/>
      <c r="L29" s="1977"/>
      <c r="M29" s="1977"/>
      <c r="N29" s="1965"/>
      <c r="O29" s="1977"/>
      <c r="P29" s="1501"/>
      <c r="Q29" s="1501"/>
      <c r="R29" s="761"/>
      <c r="S29" s="1501"/>
      <c r="T29" s="1501"/>
      <c r="U29" s="1501"/>
      <c r="V29" s="763"/>
      <c r="W29" s="763"/>
      <c r="X29" s="760"/>
      <c r="Y29" s="760"/>
      <c r="Z29" s="760"/>
      <c r="AA29" s="760"/>
      <c r="AB29" s="760"/>
      <c r="AC29" s="760"/>
    </row>
    <row customHeight="1" ht="15">
      <c r="A30" s="2558" t="s">
        <v>93</v>
      </c>
      <c r="B30" s="1501"/>
      <c r="C30" s="1142" t="s">
        <v>104</v>
      </c>
      <c r="D30" s="2159"/>
      <c r="E30" s="2146" t="str">
        <f>A30</f>
        <v>7</v>
      </c>
      <c r="F30" s="1145" t="s">
        <v>124</v>
      </c>
      <c r="G30" s="881" t="str">
        <f>"Территория "&amp;E30</f>
        <v>Территория 7</v>
      </c>
      <c r="H30" s="1133"/>
      <c r="I30" s="1133"/>
      <c r="J30" s="1130"/>
      <c r="K30" s="1965"/>
      <c r="L30" s="1965"/>
      <c r="M30" s="1965"/>
      <c r="N30" s="567"/>
      <c r="O30" s="1965"/>
      <c r="P30" s="566"/>
      <c r="Q30" s="566"/>
      <c r="R30" s="566"/>
      <c r="S30" s="566"/>
      <c r="T30" s="12352"/>
      <c r="U30" s="12352"/>
      <c r="V30" s="12352"/>
      <c r="W30" s="12352"/>
      <c r="X30" s="12352"/>
      <c r="Y30" s="12352"/>
      <c r="Z30" s="12352"/>
      <c r="AA30" s="12352"/>
      <c r="AB30" s="12352"/>
      <c r="AC30" s="12352"/>
    </row>
    <row customHeight="1" ht="15">
      <c r="A31" s="2558"/>
      <c r="B31" s="1501">
        <v>1</v>
      </c>
      <c r="C31" s="1501"/>
      <c r="D31" s="1141"/>
      <c r="E31" s="2154" t="str">
        <f>A30&amp;"."&amp;B31</f>
        <v>7.1</v>
      </c>
      <c r="F31" s="1144" t="s">
        <v>125</v>
      </c>
      <c r="G31" s="1134" t="s">
        <v>126</v>
      </c>
      <c r="H31" s="1134" t="s">
        <v>127</v>
      </c>
      <c r="I31" s="1132" t="s">
        <v>128</v>
      </c>
      <c r="J31" s="1965"/>
      <c r="K31" s="1977"/>
      <c r="L31" s="1977"/>
      <c r="M31" s="1965" t="str">
        <f t="array" ref="M31:M31">IF(ISERROR(MATCH(MID(N31,1,250),MID(note_ter,1,250),0)),"n","y")</f>
        <v>n</v>
      </c>
      <c r="N31" s="1977"/>
      <c r="O31" s="1965" t="str">
        <f>H31&amp;"("&amp;I31&amp;")"</f>
        <v>Новошахтинское городское поселение(05620154)</v>
      </c>
      <c r="P31" s="1501"/>
      <c r="Q31" s="1501"/>
      <c r="R31" s="761"/>
      <c r="S31" s="1501"/>
      <c r="T31" s="1501"/>
      <c r="U31" s="1501"/>
      <c r="V31" s="763"/>
      <c r="W31" s="763"/>
      <c r="X31" s="760"/>
      <c r="Y31" s="760"/>
      <c r="Z31" s="760"/>
      <c r="AA31" s="760"/>
      <c r="AB31" s="760"/>
      <c r="AC31" s="760"/>
    </row>
    <row customHeight="1" ht="15">
      <c r="A32" s="2558"/>
      <c r="B32" s="1501"/>
      <c r="C32" s="753"/>
      <c r="D32" s="1142"/>
      <c r="E32" s="762"/>
      <c r="F32" s="518"/>
      <c r="G32" s="756" t="s">
        <v>102</v>
      </c>
      <c r="H32" s="528"/>
      <c r="I32" s="765"/>
      <c r="J32" s="1977"/>
      <c r="K32" s="1977"/>
      <c r="L32" s="1977"/>
      <c r="M32" s="1977"/>
      <c r="N32" s="1965"/>
      <c r="O32" s="1977"/>
      <c r="P32" s="1501"/>
      <c r="Q32" s="1501"/>
      <c r="R32" s="761"/>
      <c r="S32" s="1501"/>
      <c r="T32" s="1501"/>
      <c r="U32" s="1501"/>
      <c r="V32" s="763"/>
      <c r="W32" s="763"/>
      <c r="X32" s="760"/>
      <c r="Y32" s="760"/>
      <c r="Z32" s="760"/>
      <c r="AA32" s="760"/>
      <c r="AB32" s="760"/>
      <c r="AC32" s="760"/>
    </row>
    <row customHeight="1" ht="15">
      <c r="A33" s="2558" t="s">
        <v>129</v>
      </c>
      <c r="B33" s="1501"/>
      <c r="C33" s="1142" t="s">
        <v>104</v>
      </c>
      <c r="D33" s="2159"/>
      <c r="E33" s="2146" t="str">
        <f>A33</f>
        <v>8</v>
      </c>
      <c r="F33" s="1145" t="s">
        <v>130</v>
      </c>
      <c r="G33" s="881" t="str">
        <f>"Территория "&amp;E33</f>
        <v>Территория 8</v>
      </c>
      <c r="H33" s="1133"/>
      <c r="I33" s="1133"/>
      <c r="J33" s="1130"/>
      <c r="K33" s="1965"/>
      <c r="L33" s="1965"/>
      <c r="M33" s="1965"/>
      <c r="N33" s="567"/>
      <c r="O33" s="1965"/>
      <c r="P33" s="566"/>
      <c r="Q33" s="566"/>
      <c r="R33" s="566"/>
      <c r="S33" s="566"/>
      <c r="T33" s="12352"/>
      <c r="U33" s="12352"/>
      <c r="V33" s="12352"/>
      <c r="W33" s="12352"/>
      <c r="X33" s="12352"/>
      <c r="Y33" s="12352"/>
      <c r="Z33" s="12352"/>
      <c r="AA33" s="12352"/>
      <c r="AB33" s="12352"/>
      <c r="AC33" s="12352"/>
    </row>
    <row customHeight="1" ht="15">
      <c r="A34" s="2558"/>
      <c r="B34" s="1501">
        <v>1</v>
      </c>
      <c r="C34" s="1501"/>
      <c r="D34" s="1141"/>
      <c r="E34" s="2154" t="str">
        <f>A33&amp;"."&amp;B34</f>
        <v>8.1</v>
      </c>
      <c r="F34" s="1144" t="s">
        <v>131</v>
      </c>
      <c r="G34" s="1134" t="s">
        <v>132</v>
      </c>
      <c r="H34" s="1134" t="s">
        <v>132</v>
      </c>
      <c r="I34" s="1132" t="s">
        <v>133</v>
      </c>
      <c r="J34" s="1965"/>
      <c r="K34" s="1977"/>
      <c r="L34" s="1977"/>
      <c r="M34" s="1965" t="str">
        <f t="array" ref="M34:M34">IF(ISERROR(MATCH(MID(N34,1,250),MID(note_ter,1,250),0)),"n","y")</f>
        <v>n</v>
      </c>
      <c r="N34" s="1977"/>
      <c r="O34" s="1965" t="str">
        <f>H34&amp;"("&amp;I34&amp;")"</f>
        <v>городской округ ЗАТО Фокино(05747000)</v>
      </c>
      <c r="P34" s="1501"/>
      <c r="Q34" s="1501"/>
      <c r="R34" s="761"/>
      <c r="S34" s="1501"/>
      <c r="T34" s="1501"/>
      <c r="U34" s="1501"/>
      <c r="V34" s="763"/>
      <c r="W34" s="763"/>
      <c r="X34" s="760"/>
      <c r="Y34" s="760"/>
      <c r="Z34" s="760"/>
      <c r="AA34" s="760"/>
      <c r="AB34" s="760"/>
      <c r="AC34" s="760"/>
    </row>
    <row customHeight="1" ht="15">
      <c r="A35" s="2558"/>
      <c r="B35" s="1501"/>
      <c r="C35" s="753"/>
      <c r="D35" s="1142"/>
      <c r="E35" s="762"/>
      <c r="F35" s="518"/>
      <c r="G35" s="756" t="s">
        <v>102</v>
      </c>
      <c r="H35" s="528"/>
      <c r="I35" s="765"/>
      <c r="J35" s="1977"/>
      <c r="K35" s="1977"/>
      <c r="L35" s="1977"/>
      <c r="M35" s="1977"/>
      <c r="N35" s="1965"/>
      <c r="O35" s="1977"/>
      <c r="P35" s="1501"/>
      <c r="Q35" s="1501"/>
      <c r="R35" s="761"/>
      <c r="S35" s="1501"/>
      <c r="T35" s="1501"/>
      <c r="U35" s="1501"/>
      <c r="V35" s="763"/>
      <c r="W35" s="763"/>
      <c r="X35" s="760"/>
      <c r="Y35" s="760"/>
      <c r="Z35" s="760"/>
      <c r="AA35" s="760"/>
      <c r="AB35" s="760"/>
      <c r="AC35" s="760"/>
    </row>
    <row customHeight="1" ht="15">
      <c r="A36" s="2558" t="s">
        <v>134</v>
      </c>
      <c r="B36" s="1501"/>
      <c r="C36" s="1142" t="s">
        <v>104</v>
      </c>
      <c r="D36" s="2159"/>
      <c r="E36" s="2146" t="str">
        <f>A36</f>
        <v>9</v>
      </c>
      <c r="F36" s="1145" t="s">
        <v>135</v>
      </c>
      <c r="G36" s="881" t="str">
        <f>"Территория "&amp;E36</f>
        <v>Территория 9</v>
      </c>
      <c r="H36" s="1133"/>
      <c r="I36" s="1133"/>
      <c r="J36" s="1130"/>
      <c r="K36" s="1965"/>
      <c r="L36" s="1965"/>
      <c r="M36" s="1965"/>
      <c r="N36" s="567"/>
      <c r="O36" s="1965"/>
      <c r="P36" s="566"/>
      <c r="Q36" s="566"/>
      <c r="R36" s="566"/>
      <c r="S36" s="566"/>
      <c r="T36" s="12352"/>
      <c r="U36" s="12352"/>
      <c r="V36" s="12352"/>
      <c r="W36" s="12352"/>
      <c r="X36" s="12352"/>
      <c r="Y36" s="12352"/>
      <c r="Z36" s="12352"/>
      <c r="AA36" s="12352"/>
      <c r="AB36" s="12352"/>
      <c r="AC36" s="12352"/>
    </row>
    <row customHeight="1" ht="15">
      <c r="A37" s="2558"/>
      <c r="B37" s="1501">
        <v>1</v>
      </c>
      <c r="C37" s="1501"/>
      <c r="D37" s="1141"/>
      <c r="E37" s="2154" t="str">
        <f>A36&amp;"."&amp;B37</f>
        <v>9.1</v>
      </c>
      <c r="F37" s="1144" t="s">
        <v>116</v>
      </c>
      <c r="G37" s="1134" t="s">
        <v>136</v>
      </c>
      <c r="H37" s="1134" t="s">
        <v>136</v>
      </c>
      <c r="I37" s="1132" t="s">
        <v>137</v>
      </c>
      <c r="J37" s="1965"/>
      <c r="K37" s="1977"/>
      <c r="L37" s="1977"/>
      <c r="M37" s="1965" t="str">
        <f t="array" ref="M37:M37">IF(ISERROR(MATCH(MID(N37,1,250),MID(note_ter,1,250),0)),"n","y")</f>
        <v>n</v>
      </c>
      <c r="N37" s="1977"/>
      <c r="O37" s="1965" t="str">
        <f>H37&amp;"("&amp;I37&amp;")"</f>
        <v>Городской округ Спасск-Дальний(05720000)</v>
      </c>
      <c r="P37" s="1501"/>
      <c r="Q37" s="1501"/>
      <c r="R37" s="761"/>
      <c r="S37" s="1501"/>
      <c r="T37" s="1501"/>
      <c r="U37" s="1501"/>
      <c r="V37" s="763"/>
      <c r="W37" s="763"/>
      <c r="X37" s="760"/>
      <c r="Y37" s="760"/>
      <c r="Z37" s="760"/>
      <c r="AA37" s="760"/>
      <c r="AB37" s="760"/>
      <c r="AC37" s="760"/>
    </row>
    <row customHeight="1" ht="15">
      <c r="A38" s="2558"/>
      <c r="B38" s="1501"/>
      <c r="C38" s="753"/>
      <c r="D38" s="1142"/>
      <c r="E38" s="762"/>
      <c r="F38" s="518"/>
      <c r="G38" s="756" t="s">
        <v>102</v>
      </c>
      <c r="H38" s="528"/>
      <c r="I38" s="765"/>
      <c r="J38" s="1977"/>
      <c r="K38" s="1977"/>
      <c r="L38" s="1977"/>
      <c r="M38" s="1977"/>
      <c r="N38" s="1965"/>
      <c r="O38" s="1977"/>
      <c r="P38" s="1501"/>
      <c r="Q38" s="1501"/>
      <c r="R38" s="761"/>
      <c r="S38" s="1501"/>
      <c r="T38" s="1501"/>
      <c r="U38" s="1501"/>
      <c r="V38" s="763"/>
      <c r="W38" s="763"/>
      <c r="X38" s="760"/>
      <c r="Y38" s="760"/>
      <c r="Z38" s="760"/>
      <c r="AA38" s="760"/>
      <c r="AB38" s="760"/>
      <c r="AC38" s="760"/>
    </row>
    <row customHeight="1" ht="15">
      <c r="A39" s="2558" t="s">
        <v>138</v>
      </c>
      <c r="B39" s="1501"/>
      <c r="C39" s="1142" t="s">
        <v>104</v>
      </c>
      <c r="D39" s="2159"/>
      <c r="E39" s="2146" t="str">
        <f>A39</f>
        <v>10</v>
      </c>
      <c r="F39" s="1145" t="s">
        <v>139</v>
      </c>
      <c r="G39" s="881" t="str">
        <f>"Территория "&amp;E39</f>
        <v>Территория 10</v>
      </c>
      <c r="H39" s="1133"/>
      <c r="I39" s="1133"/>
      <c r="J39" s="1130"/>
      <c r="K39" s="1965"/>
      <c r="L39" s="1965"/>
      <c r="M39" s="1965"/>
      <c r="N39" s="567"/>
      <c r="O39" s="1965"/>
      <c r="P39" s="566"/>
      <c r="Q39" s="566"/>
      <c r="R39" s="566"/>
      <c r="S39" s="566"/>
      <c r="T39" s="12352"/>
      <c r="U39" s="12352"/>
      <c r="V39" s="12352"/>
      <c r="W39" s="12352"/>
      <c r="X39" s="12352"/>
      <c r="Y39" s="12352"/>
      <c r="Z39" s="12352"/>
      <c r="AA39" s="12352"/>
      <c r="AB39" s="12352"/>
      <c r="AC39" s="12352"/>
    </row>
    <row customHeight="1" ht="15">
      <c r="A40" s="2558"/>
      <c r="B40" s="1501">
        <v>1</v>
      </c>
      <c r="C40" s="1501"/>
      <c r="D40" s="1141"/>
      <c r="E40" s="2154" t="str">
        <f>A39&amp;"."&amp;B40</f>
        <v>10.1</v>
      </c>
      <c r="F40" s="1144" t="s">
        <v>140</v>
      </c>
      <c r="G40" s="1134" t="s">
        <v>141</v>
      </c>
      <c r="H40" s="1134" t="s">
        <v>141</v>
      </c>
      <c r="I40" s="1132" t="s">
        <v>142</v>
      </c>
      <c r="J40" s="1965"/>
      <c r="K40" s="1977"/>
      <c r="L40" s="1977"/>
      <c r="M40" s="1965" t="str">
        <f t="array" ref="M40:M40">IF(ISERROR(MATCH(MID(N40,1,250),MID(note_ter,1,250),0)),"n","y")</f>
        <v>n</v>
      </c>
      <c r="N40" s="1977"/>
      <c r="O40" s="1965" t="str">
        <f>H40&amp;"("&amp;I40&amp;")"</f>
        <v>Черниговский муниципальный округ(05553000)</v>
      </c>
      <c r="P40" s="1501"/>
      <c r="Q40" s="1501"/>
      <c r="R40" s="761"/>
      <c r="S40" s="1501"/>
      <c r="T40" s="1501"/>
      <c r="U40" s="1501"/>
      <c r="V40" s="763"/>
      <c r="W40" s="763"/>
      <c r="X40" s="760"/>
      <c r="Y40" s="760"/>
      <c r="Z40" s="760"/>
      <c r="AA40" s="760"/>
      <c r="AB40" s="760"/>
      <c r="AC40" s="760"/>
    </row>
    <row customHeight="1" ht="15">
      <c r="A41" s="2558"/>
      <c r="B41" s="1501"/>
      <c r="C41" s="753"/>
      <c r="D41" s="1142"/>
      <c r="E41" s="762"/>
      <c r="F41" s="518"/>
      <c r="G41" s="756" t="s">
        <v>102</v>
      </c>
      <c r="H41" s="528"/>
      <c r="I41" s="765"/>
      <c r="J41" s="1977"/>
      <c r="K41" s="1977"/>
      <c r="L41" s="1977"/>
      <c r="M41" s="1977"/>
      <c r="N41" s="1965"/>
      <c r="O41" s="1977"/>
      <c r="P41" s="1501"/>
      <c r="Q41" s="1501"/>
      <c r="R41" s="761"/>
      <c r="S41" s="1501"/>
      <c r="T41" s="1501"/>
      <c r="U41" s="1501"/>
      <c r="V41" s="763"/>
      <c r="W41" s="763"/>
      <c r="X41" s="760"/>
      <c r="Y41" s="760"/>
      <c r="Z41" s="760"/>
      <c r="AA41" s="760"/>
      <c r="AB41" s="760"/>
      <c r="AC41" s="760"/>
    </row>
    <row customHeight="1" ht="15">
      <c r="A42" s="2558" t="s">
        <v>143</v>
      </c>
      <c r="B42" s="1501"/>
      <c r="C42" s="1142" t="s">
        <v>104</v>
      </c>
      <c r="D42" s="2159"/>
      <c r="E42" s="2146" t="str">
        <f>A42</f>
        <v>11</v>
      </c>
      <c r="F42" s="1145" t="s">
        <v>144</v>
      </c>
      <c r="G42" s="881" t="str">
        <f>"Территория "&amp;E42</f>
        <v>Территория 11</v>
      </c>
      <c r="H42" s="1133"/>
      <c r="I42" s="1133"/>
      <c r="J42" s="1130"/>
      <c r="K42" s="1965"/>
      <c r="L42" s="1965"/>
      <c r="M42" s="1965"/>
      <c r="N42" s="567"/>
      <c r="O42" s="1965"/>
      <c r="P42" s="566"/>
      <c r="Q42" s="566"/>
      <c r="R42" s="566"/>
      <c r="S42" s="566"/>
      <c r="T42" s="12352"/>
      <c r="U42" s="12352"/>
      <c r="V42" s="12352"/>
      <c r="W42" s="12352"/>
      <c r="X42" s="12352"/>
      <c r="Y42" s="12352"/>
      <c r="Z42" s="12352"/>
      <c r="AA42" s="12352"/>
      <c r="AB42" s="12352"/>
      <c r="AC42" s="12352"/>
    </row>
    <row customHeight="1" ht="15">
      <c r="A43" s="2558"/>
      <c r="B43" s="1501">
        <v>1</v>
      </c>
      <c r="C43" s="1501"/>
      <c r="D43" s="1141"/>
      <c r="E43" s="2154" t="str">
        <f>A42&amp;"."&amp;B43</f>
        <v>11.1</v>
      </c>
      <c r="F43" s="1144" t="s">
        <v>145</v>
      </c>
      <c r="G43" s="1134" t="s">
        <v>146</v>
      </c>
      <c r="H43" s="1134" t="s">
        <v>146</v>
      </c>
      <c r="I43" s="1132" t="s">
        <v>147</v>
      </c>
      <c r="J43" s="1965"/>
      <c r="K43" s="1977"/>
      <c r="L43" s="1977"/>
      <c r="M43" s="1965" t="str">
        <f t="array" ref="M43:M43">IF(ISERROR(MATCH(MID(N43,1,250),MID(note_ter,1,250),0)),"n","y")</f>
        <v>n</v>
      </c>
      <c r="N43" s="1977"/>
      <c r="O43" s="1965" t="str">
        <f>H43&amp;"("&amp;I43&amp;")"</f>
        <v>Анучинский муниципальный округ(05502000)</v>
      </c>
      <c r="P43" s="1501"/>
      <c r="Q43" s="1501"/>
      <c r="R43" s="761"/>
      <c r="S43" s="1501"/>
      <c r="T43" s="1501"/>
      <c r="U43" s="1501"/>
      <c r="V43" s="763"/>
      <c r="W43" s="763"/>
      <c r="X43" s="760"/>
      <c r="Y43" s="760"/>
      <c r="Z43" s="760"/>
      <c r="AA43" s="760"/>
      <c r="AB43" s="760"/>
      <c r="AC43" s="760"/>
    </row>
    <row customHeight="1" ht="15">
      <c r="A44" s="2558"/>
      <c r="B44" s="1501"/>
      <c r="C44" s="753"/>
      <c r="D44" s="1142"/>
      <c r="E44" s="762"/>
      <c r="F44" s="518"/>
      <c r="G44" s="756" t="s">
        <v>102</v>
      </c>
      <c r="H44" s="528"/>
      <c r="I44" s="765"/>
      <c r="J44" s="1977"/>
      <c r="K44" s="1977"/>
      <c r="L44" s="1977"/>
      <c r="M44" s="1977"/>
      <c r="N44" s="1965"/>
      <c r="O44" s="1977"/>
      <c r="P44" s="1501"/>
      <c r="Q44" s="1501"/>
      <c r="R44" s="761"/>
      <c r="S44" s="1501"/>
      <c r="T44" s="1501"/>
      <c r="U44" s="1501"/>
      <c r="V44" s="763"/>
      <c r="W44" s="763"/>
      <c r="X44" s="760"/>
      <c r="Y44" s="760"/>
      <c r="Z44" s="760"/>
      <c r="AA44" s="760"/>
      <c r="AB44" s="760"/>
      <c r="AC44" s="760"/>
    </row>
    <row s="21703" customFormat="1" customHeight="1" ht="14.699999999999998">
      <c r="A45" s="1099"/>
      <c r="B45" s="758"/>
      <c r="C45" s="1099"/>
      <c r="D45" s="1123"/>
      <c r="E45" s="1135"/>
      <c r="F45" s="519"/>
      <c r="G45" s="757" t="s">
        <v>148</v>
      </c>
      <c r="H45" s="519"/>
      <c r="I45" s="520"/>
      <c r="J45" s="590"/>
      <c r="K45" s="496"/>
      <c r="L45" s="496"/>
      <c r="M45" s="496"/>
      <c r="N45" s="567" t="s">
        <v>149</v>
      </c>
      <c r="O45" s="496"/>
      <c r="P45" s="566"/>
      <c r="Q45" s="566"/>
      <c r="R45" s="566"/>
      <c r="S45" s="566"/>
      <c r="AC45" s="457">
        <v>14</v>
      </c>
    </row>
    <row s="21703" customFormat="1" customHeight="1" ht="22.049999999999997">
      <c r="A46" s="1099"/>
      <c r="B46" s="758"/>
      <c r="C46" s="1099"/>
      <c r="D46" s="506"/>
      <c r="E46" s="521"/>
      <c r="F46" s="521"/>
      <c r="G46" s="521"/>
      <c r="H46" s="521"/>
      <c r="I46" s="521"/>
      <c r="J46" s="496"/>
      <c r="K46" s="496"/>
      <c r="L46" s="496"/>
      <c r="M46" s="496"/>
      <c r="N46" s="567"/>
      <c r="O46" s="496"/>
      <c r="P46" s="566"/>
      <c r="Q46" s="566"/>
      <c r="R46" s="566"/>
      <c r="S46" s="566"/>
      <c r="AC46" s="457">
        <v>21</v>
      </c>
    </row>
    <row s="21703" customFormat="1" customHeight="1" ht="14.699999999999998">
      <c r="A47" s="1099"/>
      <c r="B47" s="758"/>
      <c r="C47" s="1099"/>
      <c r="D47" s="506"/>
      <c r="E47" s="424"/>
      <c r="F47" s="1099"/>
      <c r="G47" s="424"/>
      <c r="H47" s="424"/>
      <c r="I47" s="424"/>
      <c r="J47" s="496"/>
      <c r="K47" s="496"/>
      <c r="L47" s="496"/>
      <c r="M47" s="496"/>
      <c r="N47" s="567"/>
      <c r="O47" s="496"/>
      <c r="P47" s="566"/>
      <c r="Q47" s="566"/>
      <c r="R47" s="566"/>
      <c r="S47" s="566"/>
      <c r="AC47" s="457">
        <v>14</v>
      </c>
    </row>
    <row s="21703" customFormat="1" customHeight="1" ht="1.05">
      <c r="A48" s="1099"/>
      <c r="B48" s="758"/>
      <c r="C48" s="1099"/>
      <c r="D48" s="506"/>
      <c r="E48" s="424"/>
      <c r="F48" s="1099"/>
      <c r="G48" s="424"/>
      <c r="H48" s="424"/>
      <c r="I48" s="424"/>
      <c r="J48" s="496"/>
      <c r="K48" s="496"/>
      <c r="L48" s="496"/>
      <c r="M48" s="496"/>
      <c r="N48" s="567"/>
      <c r="O48" s="496"/>
      <c r="P48" s="566"/>
      <c r="Q48" s="566"/>
      <c r="R48" s="566"/>
      <c r="S48" s="566"/>
      <c r="AC48" s="457">
        <v>1</v>
      </c>
    </row>
    <row s="21782" customFormat="1" customHeight="1" ht="10.5">
      <c r="B49" s="1175"/>
      <c r="D49" s="523"/>
      <c r="J49" s="496"/>
      <c r="K49" s="496"/>
      <c r="L49" s="496"/>
      <c r="M49" s="496"/>
      <c r="N49" s="567"/>
      <c r="O49" s="496"/>
      <c r="P49" s="566"/>
      <c r="Q49" s="566"/>
      <c r="R49" s="566"/>
      <c r="S49" s="566"/>
      <c r="AC49" s="522">
        <v>10</v>
      </c>
    </row>
    <row s="21782" customFormat="1" customHeight="1" ht="10.5">
      <c r="B50" s="1175"/>
      <c r="D50" s="523"/>
      <c r="J50" s="496"/>
      <c r="K50" s="496"/>
      <c r="L50" s="496"/>
      <c r="M50" s="496"/>
      <c r="N50" s="567"/>
      <c r="O50" s="496"/>
      <c r="P50" s="566"/>
      <c r="Q50" s="566"/>
      <c r="R50" s="566"/>
      <c r="S50" s="566"/>
      <c r="AC50" s="522">
        <v>10</v>
      </c>
    </row>
    <row customHeight="1" ht="14.699999999999998">
      <c r="AC51" s="424">
        <v>14</v>
      </c>
    </row>
    <row customHeight="1" ht="14.699999999999998">
      <c r="AC52" s="424">
        <v>14</v>
      </c>
    </row>
    <row customHeight="1" ht="14.699999999999998">
      <c r="AC53" s="424">
        <v>14</v>
      </c>
    </row>
    <row customHeight="1" ht="14.699999999999998">
      <c r="H54" s="403"/>
      <c r="AC54" s="424">
        <v>14</v>
      </c>
    </row>
    <row customHeight="1" ht="14.699999999999998">
      <c r="AC55" s="424">
        <v>14</v>
      </c>
    </row>
    <row customHeight="1" ht="14.699999999999998">
      <c r="AC56" s="424">
        <v>14</v>
      </c>
    </row>
    <row customHeight="1" ht="14.699999999999998">
      <c r="AC57" s="424">
        <v>14</v>
      </c>
    </row>
    <row customHeight="1" ht="14.699999999999998">
      <c r="J58" s="424"/>
      <c r="K58" s="424"/>
      <c r="L58" s="424"/>
      <c r="AC58" s="424">
        <v>14</v>
      </c>
    </row>
    <row customHeight="1" ht="22.5" hidden="1">
      <c r="A59" s="1099" t="s">
        <v>82</v>
      </c>
      <c r="B59" s="758">
        <v>0</v>
      </c>
      <c r="C59" s="1099">
        <v>3</v>
      </c>
      <c r="D59" s="506">
        <v>3</v>
      </c>
      <c r="E59" s="424">
        <v>6</v>
      </c>
      <c r="F59" s="1099">
        <v>0</v>
      </c>
      <c r="G59" s="424">
        <v>46</v>
      </c>
      <c r="H59" s="424">
        <v>42</v>
      </c>
      <c r="I59" s="424">
        <v>14</v>
      </c>
      <c r="J59" s="496">
        <v>3</v>
      </c>
      <c r="K59" s="496">
        <v>0</v>
      </c>
      <c r="L59" s="496">
        <v>0</v>
      </c>
      <c r="M59" s="496">
        <v>0</v>
      </c>
      <c r="N59" s="567">
        <v>0</v>
      </c>
      <c r="O59" s="496">
        <v>0</v>
      </c>
      <c r="P59" s="566">
        <v>0</v>
      </c>
      <c r="Q59" s="566">
        <v>0</v>
      </c>
      <c r="R59" s="566">
        <v>0</v>
      </c>
      <c r="S59" s="566">
        <v>0</v>
      </c>
      <c r="T59" s="424">
        <v>0</v>
      </c>
      <c r="U59" s="424">
        <v>0</v>
      </c>
      <c r="V59" s="424">
        <v>0</v>
      </c>
      <c r="W59" s="424">
        <v>0</v>
      </c>
      <c r="X59" s="424">
        <v>0</v>
      </c>
      <c r="Y59" s="424">
        <v>0</v>
      </c>
      <c r="Z59" s="424">
        <v>0</v>
      </c>
      <c r="AA59" s="424">
        <v>0</v>
      </c>
      <c r="AB59" s="424">
        <v>8</v>
      </c>
      <c r="AC59" s="424">
        <v>23</v>
      </c>
    </row>
  </sheetData>
  <sheetProtection formatColumns="0" formatRows="0" autoFilter="0" sort="0" insertRows="0" insertColumns="1" deleteRows="0" deleteColumns="0"/>
  <mergeCells count="1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13F3-CC42-7EA3-D0F5-DB67660B3DD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1825" width="6.421875" hidden="1" customWidth="1"/>
    <col min="2" max="2" style="21825" width="2.00390625" hidden="1" customWidth="1"/>
    <col min="3" max="3" style="21825" width="3.00390625" customWidth="1"/>
    <col min="4" max="4" style="21825" width="4.00390625" customWidth="1"/>
    <col min="5" max="5" style="21825" width="44.00390625" customWidth="1"/>
    <col min="6" max="6" style="21825" width="6.421875" customWidth="1"/>
    <col min="7" max="7" style="21825" width="4.00390625" customWidth="1"/>
    <col min="8" max="8" style="21825" width="5.00390625" customWidth="1"/>
    <col min="9" max="9" style="21825" width="52.00390625" customWidth="1"/>
    <col min="10" max="10" style="21825" width="7.00390625" customWidth="1"/>
    <col min="11" max="11" style="21825" width="3.00390625" customWidth="1"/>
    <col min="12" max="12" style="21825" width="6.00390625" customWidth="1"/>
    <col min="13" max="13" style="21825" width="56.00390625" customWidth="1"/>
    <col min="14" max="14" style="21876" width="8.00390625" customWidth="1"/>
    <col min="15" max="20" style="21788" width="9.140625" hidden="1"/>
    <col min="21" max="24" style="21877" width="9.140625" hidden="1"/>
    <col min="25" max="37" style="21876" width="9.140625" hidden="1"/>
    <col min="38" max="38" style="21876" width="8.00390625" customWidth="1"/>
    <col min="39" max="39" style="21825"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21796" customFormat="1" customHeight="1" ht="14.699999999999998">
      <c r="A5" s="926"/>
      <c r="B5" s="926"/>
      <c r="C5" s="926"/>
      <c r="D5" s="2463" t="str">
        <f>IF(org=0,"Не определено",org)</f>
        <v>КГУП "Примтеплоэнерго"</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21796"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21796"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150</v>
      </c>
      <c r="E9" s="2468"/>
      <c r="F9" s="2469" t="s">
        <v>151</v>
      </c>
      <c r="G9" s="2470"/>
      <c r="H9" s="2470"/>
      <c r="I9" s="2470"/>
      <c r="J9" s="2473" t="s">
        <v>152</v>
      </c>
      <c r="K9" s="2473"/>
      <c r="L9" s="2473"/>
      <c r="M9" s="2473"/>
      <c r="AM9" s="924">
        <v>18</v>
      </c>
    </row>
    <row customHeight="1" ht="24">
      <c r="A10" s="2467"/>
      <c r="B10" s="933"/>
      <c r="C10" s="866"/>
      <c r="D10" s="864" t="s">
        <v>88</v>
      </c>
      <c r="E10" s="864" t="s">
        <v>89</v>
      </c>
      <c r="F10" s="864" t="s">
        <v>153</v>
      </c>
      <c r="G10" s="2474" t="s">
        <v>88</v>
      </c>
      <c r="H10" s="2475"/>
      <c r="I10" s="864" t="s">
        <v>89</v>
      </c>
      <c r="J10" s="864" t="s">
        <v>153</v>
      </c>
      <c r="K10" s="2474" t="s">
        <v>88</v>
      </c>
      <c r="L10" s="2475"/>
      <c r="M10" s="864" t="s">
        <v>89</v>
      </c>
      <c r="N10" s="1968"/>
      <c r="AM10" s="924">
        <v>23</v>
      </c>
    </row>
    <row s="21825" customFormat="1" customHeight="1" ht="11.25" hidden="1">
      <c r="A11" s="934"/>
      <c r="B11" s="934"/>
      <c r="C11" s="934"/>
      <c r="D11" s="935" t="s">
        <v>145</v>
      </c>
      <c r="E11" s="935" t="s">
        <v>103</v>
      </c>
      <c r="F11" s="935" t="s">
        <v>90</v>
      </c>
      <c r="G11" s="2456" t="s">
        <v>91</v>
      </c>
      <c r="H11" s="2457"/>
      <c r="I11" s="935" t="s">
        <v>116</v>
      </c>
      <c r="J11" s="935" t="s">
        <v>92</v>
      </c>
      <c r="K11" s="2458" t="s">
        <v>93</v>
      </c>
      <c r="L11" s="2459"/>
      <c r="M11" s="935" t="s">
        <v>129</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154</v>
      </c>
      <c r="P12" s="1754" t="s">
        <v>155</v>
      </c>
      <c r="Q12" s="1754" t="s">
        <v>156</v>
      </c>
      <c r="R12" s="1754" t="s">
        <v>157</v>
      </c>
      <c r="AM12" s="924">
        <v>1</v>
      </c>
    </row>
    <row s="21825" customFormat="1" customHeight="1" ht="15.75">
      <c r="A13" s="634"/>
      <c r="B13" s="634"/>
      <c r="C13" s="867"/>
      <c r="D13" s="2449" t="s">
        <v>145</v>
      </c>
      <c r="E13" s="2450"/>
      <c r="F13" s="2453" t="s">
        <v>66</v>
      </c>
      <c r="G13" s="2454"/>
      <c r="H13" s="2455">
        <v>1</v>
      </c>
      <c r="I13" s="2446" t="str">
        <f>IF(U13="","",INDEX(TERRITORY_MR_LIST,MATCH(U13,TERRITORY_LIST_ID,0)))</f>
        <v/>
      </c>
      <c r="J13" s="2448" t="s">
        <v>19</v>
      </c>
      <c r="K13" s="943"/>
      <c r="L13" s="868" t="s">
        <v>145</v>
      </c>
      <c r="M13" s="944" t="s">
        <v>28</v>
      </c>
      <c r="N13" s="1153"/>
      <c r="O13" s="1757" t="s">
        <v>158</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159</v>
      </c>
      <c r="Z13" s="945">
        <v>1705000</v>
      </c>
      <c r="AA13" s="945"/>
      <c r="AB13" s="945"/>
      <c r="AC13" s="945"/>
      <c r="AD13" s="945"/>
      <c r="AE13" s="945"/>
      <c r="AF13" s="945"/>
      <c r="AG13" s="945"/>
      <c r="AH13" s="945"/>
      <c r="AI13" s="945"/>
      <c r="AJ13" s="945"/>
      <c r="AK13" s="945"/>
      <c r="AL13" s="945"/>
      <c r="AM13" s="947">
        <v>15</v>
      </c>
    </row>
    <row s="21825" customFormat="1" customHeight="1" ht="15.75">
      <c r="A14" s="634"/>
      <c r="B14" s="634"/>
      <c r="C14" s="517"/>
      <c r="D14" s="2449"/>
      <c r="E14" s="2451"/>
      <c r="F14" s="2448"/>
      <c r="G14" s="2454"/>
      <c r="H14" s="2455"/>
      <c r="I14" s="2447"/>
      <c r="J14" s="2448"/>
      <c r="K14" s="762"/>
      <c r="L14" s="518"/>
      <c r="M14" s="948" t="s">
        <v>160</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21825" customFormat="1" customHeight="1" ht="15.75">
      <c r="A15" s="634"/>
      <c r="B15" s="634"/>
      <c r="C15" s="517"/>
      <c r="D15" s="2449"/>
      <c r="E15" s="2452"/>
      <c r="F15" s="2448"/>
      <c r="G15" s="1401"/>
      <c r="H15" s="1402"/>
      <c r="I15" s="921" t="s">
        <v>161</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162</v>
      </c>
      <c r="F16" s="518"/>
      <c r="G16" s="518"/>
      <c r="H16" s="518"/>
      <c r="I16" s="518"/>
      <c r="J16" s="518"/>
      <c r="K16" s="518" t="s">
        <v>28</v>
      </c>
      <c r="L16" s="518"/>
      <c r="M16" s="949"/>
      <c r="N16" s="1968"/>
      <c r="AM16" s="924">
        <v>15</v>
      </c>
    </row>
    <row customHeight="1" ht="11.25" hidden="1">
      <c r="A17" s="924" t="s">
        <v>82</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FBA6C-37F3-1765-A088-DCB04E6C6915}" mc:Ignorable="x14ac xr xr2 xr3">
  <sheetPr>
    <tabColor rgb="FFCCCCFF"/>
  </sheetPr>
  <dimension ref="A1:AR196"/>
  <sheetViews>
    <sheetView topLeftCell="A1" showGridLines="0" zoomScale="90" workbookViewId="0">
      <selection activeCell="G134" sqref="G134:G138"/>
    </sheetView>
  </sheetViews>
  <sheetFormatPr defaultColWidth="9.140625" customHeight="1" defaultRowHeight="11.25"/>
  <cols>
    <col min="1" max="2" style="21788" width="3.7109375" hidden="1" customWidth="1"/>
    <col min="3" max="3" style="21825" width="3.00390625" customWidth="1"/>
    <col min="4" max="4" style="21825" width="6.00390625" customWidth="1"/>
    <col min="5" max="5" style="21825" width="42.00390625" customWidth="1"/>
    <col min="6" max="6" style="21825" width="15.00390625" customWidth="1"/>
    <col min="7" max="7" style="21825" width="42.00390625" customWidth="1"/>
    <col min="8" max="8" style="21825" width="3.00390625" customWidth="1"/>
    <col min="9" max="9" style="21825" width="5.00390625" customWidth="1"/>
    <col min="10" max="10" style="21825" width="47.00390625" customWidth="1"/>
    <col min="11" max="12" style="21825" width="3.00390625" customWidth="1"/>
    <col min="13" max="13" style="21825" width="5.00390625" customWidth="1"/>
    <col min="14" max="14" style="21825" width="28.00390625" customWidth="1"/>
    <col min="15" max="16" style="21825" width="3.00390625" customWidth="1"/>
    <col min="17" max="17" style="21825" width="5.00390625" customWidth="1"/>
    <col min="18" max="18" style="21825" width="34.00390625" customWidth="1"/>
    <col min="19" max="20" style="21825" width="3.7109375" hidden="1" customWidth="1"/>
    <col min="21" max="21" style="21825" width="5.7109375" hidden="1" customWidth="1"/>
    <col min="22" max="22" style="21825" width="34.421875" hidden="1" customWidth="1"/>
    <col min="23" max="23" style="21825" width="30.00390625" customWidth="1"/>
    <col min="24" max="24" style="21825" width="3.00390625" customWidth="1"/>
    <col min="25" max="28" style="21877" width="9.8515625" hidden="1" customWidth="1"/>
    <col min="29" max="29" style="21877" width="27.00390625" hidden="1" customWidth="1"/>
    <col min="30" max="30" style="21877" width="10.57421875" hidden="1" customWidth="1"/>
    <col min="31" max="31" style="21877" width="10.7109375" hidden="1" customWidth="1"/>
    <col min="32" max="32" style="21877" width="10.00390625" hidden="1" customWidth="1"/>
    <col min="33" max="33" style="21877" width="12.8515625" hidden="1" customWidth="1"/>
    <col min="34" max="34" style="21877" width="24.421875" hidden="1" customWidth="1"/>
    <col min="35" max="35" style="21877" width="15.8515625" hidden="1" customWidth="1"/>
    <col min="36" max="36" style="21877" width="19.421875" hidden="1" customWidth="1"/>
    <col min="37" max="37" style="21877" width="11.00390625" hidden="1" customWidth="1"/>
    <col min="38" max="38" style="21877" width="23.57421875" hidden="1" customWidth="1"/>
    <col min="39" max="39" style="21877" width="23.8515625" hidden="1" customWidth="1"/>
    <col min="40" max="40" style="21877" width="25.28125" hidden="1" customWidth="1"/>
    <col min="41" max="41" style="21877" width="16.8515625" hidden="1" customWidth="1"/>
    <col min="42" max="42" style="21877" width="29.57421875" hidden="1" customWidth="1"/>
    <col min="43" max="43" style="21877" width="29.8515625" hidden="1" customWidth="1"/>
    <col min="44" max="44" style="21825" width="9.140625" hidden="1"/>
  </cols>
  <sheetData>
    <row customHeight="1" ht="11.25" hidden="1">
      <c r="A1" s="497"/>
      <c r="AR1" s="445" t="s">
        <v>14</v>
      </c>
    </row>
    <row customHeight="1" ht="11.25" hidden="1">
      <c r="AR2" s="445">
        <v>0</v>
      </c>
    </row>
    <row customHeight="1" ht="11.25" hidden="1">
      <c r="AR3" s="445">
        <v>0</v>
      </c>
    </row>
    <row customHeight="1" ht="3">
      <c r="AR4" s="445">
        <v>3</v>
      </c>
    </row>
    <row s="21796"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21796" customFormat="1" customHeight="1" ht="14.699999999999998">
      <c r="A6" s="926"/>
      <c r="B6" s="926"/>
      <c r="C6" s="926"/>
      <c r="D6" s="2504" t="str">
        <f>IF(org=0,"Не определено",org)</f>
        <v>КГУП "Примтеплоэнерго"</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21890"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21796"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163</v>
      </c>
      <c r="F9" s="2444"/>
      <c r="G9" s="2468" t="s">
        <v>150</v>
      </c>
      <c r="H9" s="2468" t="s">
        <v>88</v>
      </c>
      <c r="I9" s="2468"/>
      <c r="J9" s="2468" t="s">
        <v>164</v>
      </c>
      <c r="K9" s="2496" t="s">
        <v>165</v>
      </c>
      <c r="L9" s="2496"/>
      <c r="M9" s="2496"/>
      <c r="N9" s="2496"/>
      <c r="O9" s="2496" t="s">
        <v>166</v>
      </c>
      <c r="P9" s="2496"/>
      <c r="Q9" s="2496"/>
      <c r="R9" s="2496"/>
      <c r="S9" s="2496" t="s">
        <v>167</v>
      </c>
      <c r="T9" s="2496"/>
      <c r="U9" s="2496"/>
      <c r="V9" s="2496"/>
      <c r="W9" s="2468" t="s">
        <v>168</v>
      </c>
      <c r="AR9" s="445">
        <v>27</v>
      </c>
    </row>
    <row customHeight="1" ht="31.5">
      <c r="D10" s="2468"/>
      <c r="E10" s="1625" t="s">
        <v>89</v>
      </c>
      <c r="F10" s="1625" t="s">
        <v>169</v>
      </c>
      <c r="G10" s="2468"/>
      <c r="H10" s="2468"/>
      <c r="I10" s="2468"/>
      <c r="J10" s="2468"/>
      <c r="K10" s="451" t="s">
        <v>153</v>
      </c>
      <c r="L10" s="2468" t="s">
        <v>88</v>
      </c>
      <c r="M10" s="2468"/>
      <c r="N10" s="451" t="s">
        <v>170</v>
      </c>
      <c r="O10" s="451" t="s">
        <v>153</v>
      </c>
      <c r="P10" s="2468" t="s">
        <v>88</v>
      </c>
      <c r="Q10" s="2468"/>
      <c r="R10" s="451" t="s">
        <v>170</v>
      </c>
      <c r="S10" s="624" t="s">
        <v>153</v>
      </c>
      <c r="T10" s="2468" t="s">
        <v>88</v>
      </c>
      <c r="U10" s="2468"/>
      <c r="V10" s="624" t="s">
        <v>89</v>
      </c>
      <c r="W10" s="2468"/>
      <c r="Z10" s="1600" t="s">
        <v>171</v>
      </c>
      <c r="AA10" s="1600" t="s">
        <v>172</v>
      </c>
      <c r="AB10" s="1600" t="s">
        <v>173</v>
      </c>
      <c r="AC10" s="1600" t="s">
        <v>174</v>
      </c>
      <c r="AD10" s="1600" t="s">
        <v>175</v>
      </c>
      <c r="AE10" s="1600" t="s">
        <v>176</v>
      </c>
      <c r="AF10" s="1600" t="s">
        <v>177</v>
      </c>
      <c r="AG10" s="1600" t="s">
        <v>178</v>
      </c>
      <c r="AH10" s="1600" t="s">
        <v>179</v>
      </c>
      <c r="AI10" s="1600" t="s">
        <v>180</v>
      </c>
      <c r="AJ10" s="1600" t="s">
        <v>181</v>
      </c>
      <c r="AK10" s="1600" t="s">
        <v>182</v>
      </c>
      <c r="AL10" s="1600" t="s">
        <v>183</v>
      </c>
      <c r="AM10" s="1600" t="s">
        <v>184</v>
      </c>
      <c r="AN10" s="1600" t="s">
        <v>185</v>
      </c>
      <c r="AO10" s="1600" t="s">
        <v>186</v>
      </c>
      <c r="AP10" s="1600" t="s">
        <v>187</v>
      </c>
      <c r="AQ10" s="1600" t="s">
        <v>188</v>
      </c>
      <c r="AR10" s="445">
        <v>30</v>
      </c>
    </row>
    <row s="21788" customFormat="1" customHeight="1" ht="12" hidden="1">
      <c r="D11" s="1590" t="s">
        <v>145</v>
      </c>
      <c r="E11" s="1590" t="s">
        <v>103</v>
      </c>
      <c r="F11" s="1590"/>
      <c r="G11" s="1590" t="s">
        <v>90</v>
      </c>
      <c r="H11" s="2497" t="s">
        <v>116</v>
      </c>
      <c r="I11" s="2497"/>
      <c r="J11" s="1590" t="s">
        <v>92</v>
      </c>
      <c r="K11" s="1590" t="s">
        <v>93</v>
      </c>
      <c r="L11" s="2497" t="s">
        <v>129</v>
      </c>
      <c r="M11" s="2497"/>
      <c r="N11" s="1590" t="s">
        <v>134</v>
      </c>
      <c r="O11" s="1590" t="s">
        <v>138</v>
      </c>
      <c r="P11" s="2497" t="s">
        <v>143</v>
      </c>
      <c r="Q11" s="2497"/>
      <c r="R11" s="1590" t="s">
        <v>189</v>
      </c>
      <c r="S11" s="1590" t="s">
        <v>143</v>
      </c>
      <c r="T11" s="2497" t="s">
        <v>189</v>
      </c>
      <c r="U11" s="2497"/>
      <c r="V11" s="1590" t="s">
        <v>190</v>
      </c>
      <c r="W11" s="1590" t="s">
        <v>191</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21825" customFormat="1" customHeight="1" ht="17.25" hidden="1">
      <c r="A13" s="662"/>
      <c r="C13" s="550"/>
      <c r="D13" s="2476">
        <v>1</v>
      </c>
      <c r="E13" s="2484" t="s">
        <v>192</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193</v>
      </c>
      <c r="AD13" s="1608" t="s">
        <v>194</v>
      </c>
      <c r="AE13" s="1608" t="s">
        <v>195</v>
      </c>
      <c r="AF13" s="1608" t="s">
        <v>196</v>
      </c>
      <c r="AG13" s="1608" t="s">
        <v>197</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21825"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21825"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21825"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21825"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21825"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198</v>
      </c>
      <c r="AD18" s="1608" t="s">
        <v>199</v>
      </c>
      <c r="AE18" s="1608" t="s">
        <v>200</v>
      </c>
      <c r="AF18" s="1608" t="s">
        <v>201</v>
      </c>
      <c r="AG18" s="1608" t="s">
        <v>202</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21825"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21825"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21825"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21825"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21825" customFormat="1" customHeight="1" ht="17.25" hidden="1">
      <c r="A23" s="662"/>
      <c r="C23" s="550"/>
      <c r="D23" s="2476">
        <v>2</v>
      </c>
      <c r="E23" s="2484" t="s">
        <v>203</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198</v>
      </c>
      <c r="AD23" s="1608" t="s">
        <v>199</v>
      </c>
      <c r="AE23" s="1608" t="s">
        <v>200</v>
      </c>
      <c r="AF23" s="1608" t="s">
        <v>201</v>
      </c>
      <c r="AG23" s="1608" t="s">
        <v>202</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21825"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21825"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21825"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21825"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21825" customFormat="1" customHeight="1" ht="17.25" hidden="1">
      <c r="A28" s="662"/>
      <c r="C28" s="550"/>
      <c r="D28" s="2476">
        <v>3</v>
      </c>
      <c r="E28" s="2484" t="s">
        <v>204</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205</v>
      </c>
      <c r="AD28" s="1608" t="s">
        <v>206</v>
      </c>
      <c r="AE28" s="1608" t="s">
        <v>207</v>
      </c>
      <c r="AF28" s="1608" t="s">
        <v>208</v>
      </c>
      <c r="AG28" s="1608" t="s">
        <v>209</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21825"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21825"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21825"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21825"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21825" customFormat="1" customHeight="1" ht="17.25" hidden="1">
      <c r="A33" s="662"/>
      <c r="C33" s="550"/>
      <c r="D33" s="2476">
        <v>4</v>
      </c>
      <c r="E33" s="2484" t="s">
        <v>210</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211</v>
      </c>
      <c r="AD33" s="1608" t="s">
        <v>212</v>
      </c>
      <c r="AE33" s="1608" t="s">
        <v>213</v>
      </c>
      <c r="AF33" s="1608" t="s">
        <v>214</v>
      </c>
      <c r="AG33" s="1608" t="s">
        <v>215</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21825"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21825"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21825"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21825"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21825" customFormat="1" customHeight="1" ht="17.25" hidden="1">
      <c r="A38" s="662"/>
      <c r="C38" s="550"/>
      <c r="D38" s="2476">
        <v>5</v>
      </c>
      <c r="E38" s="2484" t="s">
        <v>216</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217</v>
      </c>
      <c r="AD38" s="1608" t="s">
        <v>218</v>
      </c>
      <c r="AE38" s="1608" t="s">
        <v>219</v>
      </c>
      <c r="AF38" s="1608" t="s">
        <v>220</v>
      </c>
      <c r="AG38" s="1608" t="s">
        <v>221</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21825"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21825"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21825"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21825"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21825" customFormat="1" customHeight="1" ht="17.25" hidden="1">
      <c r="A43" s="662"/>
      <c r="C43" s="550"/>
      <c r="D43" s="2476">
        <v>6</v>
      </c>
      <c r="E43" s="2484" t="s">
        <v>222</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223</v>
      </c>
      <c r="AD43" s="1608" t="s">
        <v>224</v>
      </c>
      <c r="AE43" s="1608" t="s">
        <v>225</v>
      </c>
      <c r="AF43" s="1608" t="s">
        <v>226</v>
      </c>
      <c r="AG43" s="1608" t="s">
        <v>227</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21825"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21825"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21825"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21825"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21825" customFormat="1" customHeight="1" ht="17.25" hidden="1">
      <c r="A48" s="662"/>
      <c r="C48" s="550"/>
      <c r="D48" s="2507">
        <v>7</v>
      </c>
      <c r="E48" s="2510" t="s">
        <v>228</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229</v>
      </c>
      <c r="AD48" s="1608" t="s">
        <v>230</v>
      </c>
      <c r="AE48" s="1608" t="s">
        <v>231</v>
      </c>
      <c r="AF48" s="1608" t="s">
        <v>232</v>
      </c>
      <c r="AG48" s="1608" t="s">
        <v>233</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21825"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21825"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21825"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21825"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21825" customFormat="1" customHeight="1" ht="17.25" hidden="1">
      <c r="A53" s="662"/>
      <c r="C53" s="550"/>
      <c r="D53" s="2476">
        <v>8</v>
      </c>
      <c r="E53" s="2484" t="s">
        <v>234</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235</v>
      </c>
      <c r="AD53" s="1608" t="s">
        <v>236</v>
      </c>
      <c r="AE53" s="1608" t="s">
        <v>237</v>
      </c>
      <c r="AF53" s="1608" t="s">
        <v>238</v>
      </c>
      <c r="AG53" s="1608" t="s">
        <v>239</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21825"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21825"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21825"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21825"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21825" customFormat="1" customHeight="1" ht="17.25" hidden="1">
      <c r="A58" s="662"/>
      <c r="C58" s="550"/>
      <c r="D58" s="2476">
        <v>9</v>
      </c>
      <c r="E58" s="2484" t="s">
        <v>240</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241</v>
      </c>
      <c r="AD58" s="1608" t="s">
        <v>242</v>
      </c>
      <c r="AE58" s="1608" t="s">
        <v>243</v>
      </c>
      <c r="AF58" s="1608" t="s">
        <v>244</v>
      </c>
      <c r="AG58" s="1608" t="s">
        <v>245</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21825"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21825"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21825"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21825"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21825" customFormat="1" customHeight="1" ht="17.25" hidden="1">
      <c r="A63" s="662"/>
      <c r="C63" s="550"/>
      <c r="D63" s="2476">
        <v>10</v>
      </c>
      <c r="E63" s="2484" t="s">
        <v>246</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247</v>
      </c>
      <c r="AD63" s="1608" t="s">
        <v>248</v>
      </c>
      <c r="AE63" s="1608" t="s">
        <v>249</v>
      </c>
      <c r="AF63" s="1608" t="s">
        <v>250</v>
      </c>
      <c r="AG63" s="1608" t="s">
        <v>251</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21825"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21825"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21825"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21825"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252</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253</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254</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255</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256</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257</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258</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259</v>
      </c>
      <c r="F77" s="2513"/>
      <c r="G77" s="2514"/>
      <c r="H77" s="2514"/>
      <c r="I77" s="2514"/>
      <c r="J77" s="2514"/>
      <c r="K77" s="2514"/>
      <c r="L77" s="2514"/>
      <c r="M77" s="2514"/>
      <c r="N77" s="2514"/>
      <c r="O77" s="2514"/>
      <c r="P77" s="2514"/>
      <c r="Q77" s="2514"/>
      <c r="R77" s="2514"/>
      <c r="S77" s="2514"/>
      <c r="T77" s="2514"/>
      <c r="U77" s="2514"/>
      <c r="V77" s="2514"/>
      <c r="W77" s="2514"/>
      <c r="AR77" s="445">
        <v>0</v>
      </c>
    </row>
    <row s="21825"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21825" customFormat="1" customHeight="1" ht="17.25">
      <c r="A79" s="662"/>
      <c r="C79" s="550"/>
      <c r="D79" s="2476">
        <v>1</v>
      </c>
      <c r="E79" s="2484" t="s">
        <v>260</v>
      </c>
      <c r="F79" s="2486" t="s">
        <v>66</v>
      </c>
      <c r="G79" s="3426" t="str">
        <f>INDEX(VD_NAME_LIST,MATCH("4189671",VD_ID_LIST,0))</f>
        <v>Холодное водоснабжение. Питьевая вода</v>
      </c>
      <c r="H79" s="3427"/>
      <c r="I79" s="3427">
        <v>1</v>
      </c>
      <c r="J79" s="3428" t="s">
        <v>261</v>
      </c>
      <c r="K79" s="3429" t="s">
        <v>66</v>
      </c>
      <c r="L79" s="3430"/>
      <c r="M79" s="3430" t="s">
        <v>145</v>
      </c>
      <c r="N79" s="3431" t="str">
        <f>IF(Z79="","",INDEX(TERRITORY_MR_LIST,MATCH(Z79,TERRITORY_LIST_ID,0)))</f>
        <v>Территория 1</v>
      </c>
      <c r="O79" s="3429" t="s">
        <v>66</v>
      </c>
      <c r="P79" s="3430"/>
      <c r="Q79" s="3430" t="s">
        <v>145</v>
      </c>
      <c r="R79" s="3432" t="s">
        <v>262</v>
      </c>
      <c r="S79" s="3433" t="s">
        <v>19</v>
      </c>
      <c r="T79" s="3433"/>
      <c r="U79" s="3433" t="s">
        <v>145</v>
      </c>
      <c r="V79" s="3434"/>
      <c r="W79" s="3428"/>
      <c r="Y79" s="1608"/>
      <c r="Z79" s="1608" t="s">
        <v>98</v>
      </c>
      <c r="AA79" s="1608"/>
      <c r="AB79" s="1608" t="s">
        <v>263</v>
      </c>
      <c r="AC79" s="1608" t="s">
        <v>264</v>
      </c>
      <c r="AD79" s="1608" t="s">
        <v>265</v>
      </c>
      <c r="AE79" s="1608" t="s">
        <v>266</v>
      </c>
      <c r="AF79" s="1608" t="s">
        <v>267</v>
      </c>
      <c r="AG79" s="1608"/>
      <c r="AH79" s="1608" t="str">
        <f>IF($E$79=0,"",$E$79)</f>
        <v>Тариф на питьевую воду (питьевое водоснабжение)</v>
      </c>
      <c r="AI79" s="1608" t="str">
        <f>IF($G$79=0,"",$G$79)</f>
        <v>Холодное водоснабжение. Питьевая вода</v>
      </c>
      <c r="AJ79" s="1608" t="str">
        <f>IF($J$79=0,"",$J$79)</f>
        <v>Тариф на услуги водоснабжения</v>
      </c>
      <c r="AK79" s="1608" t="str">
        <f>IF($K$79="нет","без дифференциации",IF($N$79=0,"",$N$79))</f>
        <v>Территория 1</v>
      </c>
      <c r="AL79" s="1608" t="str">
        <f>IF($O$79="нет","без дифференциации",IF($R$79=0,"",$R$79))</f>
        <v>с. Барабаш, с. Занадворовка</v>
      </c>
      <c r="AM79" s="1608" t="str">
        <f>IF($S$79="нет","без дифференциации",IF($V$79=0,"",$V$79))</f>
        <v>без дифференциации</v>
      </c>
      <c r="AN79" s="1608">
        <f>$I$79</f>
        <v>1</v>
      </c>
      <c r="AO79" s="1608" t="str">
        <f>$I$79&amp;"."&amp;$M$79</f>
        <v>1.1</v>
      </c>
      <c r="AP79" s="1608" t="str">
        <f>$I$79&amp;"."&amp;$M$79&amp;"."&amp;$Q$79</f>
        <v>1.1.1</v>
      </c>
      <c r="AQ79" s="1608" t="str">
        <f>$I$79&amp;"."&amp;$M$79&amp;"."&amp;$Q$79&amp;"."&amp;$U$79</f>
        <v>1.1.1.1</v>
      </c>
      <c r="AR79" s="1691">
        <v>0</v>
      </c>
    </row>
    <row s="21825" customFormat="1" customHeight="1" ht="17.25">
      <c r="A80" s="662"/>
      <c r="C80" s="661"/>
      <c r="D80" s="2476"/>
      <c r="E80" s="2484"/>
      <c r="F80" s="2487"/>
      <c r="G80" s="3426"/>
      <c r="H80" s="3427"/>
      <c r="I80" s="3427"/>
      <c r="J80" s="3428"/>
      <c r="K80" s="3435"/>
      <c r="L80" s="3430"/>
      <c r="M80" s="3430"/>
      <c r="N80" s="3431"/>
      <c r="O80" s="3435"/>
      <c r="P80" s="3430"/>
      <c r="Q80" s="3430"/>
      <c r="R80" s="3432"/>
      <c r="S80" s="3433"/>
      <c r="T80" s="3436"/>
      <c r="U80" s="3437"/>
      <c r="V80" s="3437"/>
      <c r="W80" s="3428"/>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customHeight="1" ht="17.25">
      <c r="A81" s="2181"/>
      <c r="B81" s="15739"/>
      <c r="C81" s="2183"/>
      <c r="D81" s="2171"/>
      <c r="E81" s="2188"/>
      <c r="F81" s="2125"/>
      <c r="G81" s="2189"/>
      <c r="H81" s="2171"/>
      <c r="I81" s="2171"/>
      <c r="J81" s="2192"/>
      <c r="K81" s="2189"/>
      <c r="L81" s="2171"/>
      <c r="M81" s="2171"/>
      <c r="N81" s="2389"/>
      <c r="O81" s="2128"/>
      <c r="P81" s="2449" t="s">
        <v>104</v>
      </c>
      <c r="Q81" s="2449" t="s">
        <v>103</v>
      </c>
      <c r="R81" s="2843" t="s">
        <v>268</v>
      </c>
      <c r="S81" s="2747" t="s">
        <v>19</v>
      </c>
      <c r="T81" s="2143"/>
      <c r="U81" s="2143" t="s">
        <v>145</v>
      </c>
      <c r="V81" s="1775"/>
      <c r="W81" s="2842"/>
      <c r="X81" s="15739"/>
      <c r="Y81" s="1608"/>
      <c r="Z81" s="1608"/>
      <c r="AA81" s="1608"/>
      <c r="AB81" s="1608"/>
      <c r="AC81" s="15753" t="s">
        <v>264</v>
      </c>
      <c r="AD81" s="15753" t="s">
        <v>265</v>
      </c>
      <c r="AE81" s="15753" t="s">
        <v>266</v>
      </c>
      <c r="AF81" s="1608" t="s">
        <v>269</v>
      </c>
      <c r="AG81" s="1608" t="s">
        <v>270</v>
      </c>
      <c r="AH81" s="1608" t="str">
        <f>IF($E$79=0,"",$E$79)</f>
        <v>Тариф на питьевую воду (питьевое водоснабжение)</v>
      </c>
      <c r="AI81" s="1608" t="str">
        <f>IF($G$79=0,"",$G$79)</f>
        <v>Холодное водоснабжение. Питьевая вода</v>
      </c>
      <c r="AJ81" s="1608" t="str">
        <f>IF($J$79=0,"",$J$79)</f>
        <v>Тариф на услуги водоснабжения</v>
      </c>
      <c r="AK81" s="1608" t="str">
        <f>IF($K$79="нет","без дифференциации",IF($N$79=0,"",$N$79))</f>
        <v>Территория 1</v>
      </c>
      <c r="AL81" s="2185" t="str">
        <f>IF($O$81="нет","без дифференциации",IF($R$81=0,"",$R$81))</f>
        <v>с. Безверхово, п. Перевозное</v>
      </c>
      <c r="AM81" s="2185"/>
      <c r="AN81" s="1608">
        <f>$I$79</f>
        <v>1</v>
      </c>
      <c r="AO81" s="1608" t="str">
        <f>$I$79&amp;"."&amp;$M$79</f>
        <v>1.1</v>
      </c>
      <c r="AP81" s="1608" t="str">
        <f>$I$79&amp;"."&amp;$M$79&amp;"."&amp;$Q$81</f>
        <v>1.1.2</v>
      </c>
      <c r="AQ81" s="1608"/>
      <c r="AR81" s="15739"/>
    </row>
    <row customHeight="1" ht="17.25">
      <c r="A82" s="2181"/>
      <c r="B82" s="15739"/>
      <c r="C82" s="2186"/>
      <c r="D82" s="2171"/>
      <c r="E82" s="2188"/>
      <c r="F82" s="2125"/>
      <c r="G82" s="2189"/>
      <c r="H82" s="2171"/>
      <c r="I82" s="2171"/>
      <c r="J82" s="2192"/>
      <c r="K82" s="2189"/>
      <c r="L82" s="2171"/>
      <c r="M82" s="2171"/>
      <c r="N82" s="2389"/>
      <c r="O82" s="2128"/>
      <c r="P82" s="2449"/>
      <c r="Q82" s="2449"/>
      <c r="R82" s="2843"/>
      <c r="S82" s="2747"/>
      <c r="T82" s="1776"/>
      <c r="U82" s="1777"/>
      <c r="V82" s="1777"/>
      <c r="W82" s="2842"/>
      <c r="X82" s="15739"/>
      <c r="Y82" s="1600"/>
      <c r="Z82" s="1600"/>
      <c r="AA82" s="1600"/>
      <c r="AB82" s="1600"/>
      <c r="AC82" s="1600"/>
      <c r="AD82" s="1600"/>
      <c r="AE82" s="1600"/>
      <c r="AF82" s="1600"/>
      <c r="AG82" s="1600"/>
      <c r="AH82" s="1600"/>
      <c r="AI82" s="1600"/>
      <c r="AJ82" s="1600"/>
      <c r="AK82" s="1600"/>
      <c r="AL82" s="15739"/>
      <c r="AM82" s="15739"/>
      <c r="AN82" s="15739"/>
      <c r="AO82" s="15739"/>
      <c r="AP82" s="15739"/>
      <c r="AQ82" s="15739"/>
      <c r="AR82" s="15739"/>
    </row>
    <row customHeight="1" ht="17.25">
      <c r="A83" s="2181"/>
      <c r="B83" s="15739"/>
      <c r="C83" s="2183"/>
      <c r="D83" s="2171"/>
      <c r="E83" s="2188"/>
      <c r="F83" s="2125"/>
      <c r="G83" s="2189"/>
      <c r="H83" s="2171"/>
      <c r="I83" s="2171"/>
      <c r="J83" s="2192"/>
      <c r="K83" s="2189"/>
      <c r="L83" s="2171"/>
      <c r="M83" s="2171"/>
      <c r="N83" s="2389"/>
      <c r="O83" s="2128"/>
      <c r="P83" s="2449" t="s">
        <v>104</v>
      </c>
      <c r="Q83" s="2449" t="s">
        <v>90</v>
      </c>
      <c r="R83" s="2843" t="s">
        <v>271</v>
      </c>
      <c r="S83" s="2747" t="s">
        <v>19</v>
      </c>
      <c r="T83" s="2143"/>
      <c r="U83" s="2143" t="s">
        <v>145</v>
      </c>
      <c r="V83" s="1775"/>
      <c r="W83" s="2842"/>
      <c r="X83" s="15739"/>
      <c r="Y83" s="1608"/>
      <c r="Z83" s="1608"/>
      <c r="AA83" s="1608"/>
      <c r="AB83" s="1608"/>
      <c r="AC83" s="15753" t="s">
        <v>264</v>
      </c>
      <c r="AD83" s="15753" t="s">
        <v>265</v>
      </c>
      <c r="AE83" s="15753" t="s">
        <v>266</v>
      </c>
      <c r="AF83" s="1608" t="s">
        <v>272</v>
      </c>
      <c r="AG83" s="1608" t="s">
        <v>273</v>
      </c>
      <c r="AH83" s="1608" t="str">
        <f>IF($E$79=0,"",$E$79)</f>
        <v>Тариф на питьевую воду (питьевое водоснабжение)</v>
      </c>
      <c r="AI83" s="1608" t="str">
        <f>IF($G$79=0,"",$G$79)</f>
        <v>Холодное водоснабжение. Питьевая вода</v>
      </c>
      <c r="AJ83" s="1608" t="str">
        <f>IF($J$79=0,"",$J$79)</f>
        <v>Тариф на услуги водоснабжения</v>
      </c>
      <c r="AK83" s="1608" t="str">
        <f>IF($K$79="нет","без дифференциации",IF($N$79=0,"",$N$79))</f>
        <v>Территория 1</v>
      </c>
      <c r="AL83" s="2185" t="str">
        <f>IF($O$83="нет","без дифференциации",IF($R$83=0,"",$R$83))</f>
        <v>пгт. Краскино</v>
      </c>
      <c r="AM83" s="2185"/>
      <c r="AN83" s="1608">
        <f>$I$79</f>
        <v>1</v>
      </c>
      <c r="AO83" s="1608" t="str">
        <f>$I$79&amp;"."&amp;$M$79</f>
        <v>1.1</v>
      </c>
      <c r="AP83" s="1608" t="str">
        <f>$I$79&amp;"."&amp;$M$79&amp;"."&amp;$Q$83</f>
        <v>1.1.3</v>
      </c>
      <c r="AQ83" s="1608"/>
      <c r="AR83" s="15739"/>
    </row>
    <row customHeight="1" ht="17.25">
      <c r="A84" s="2181"/>
      <c r="B84" s="15739"/>
      <c r="C84" s="2186"/>
      <c r="D84" s="2171"/>
      <c r="E84" s="2188"/>
      <c r="F84" s="2125"/>
      <c r="G84" s="2189"/>
      <c r="H84" s="2171"/>
      <c r="I84" s="2171"/>
      <c r="J84" s="2192"/>
      <c r="K84" s="2189"/>
      <c r="L84" s="2171"/>
      <c r="M84" s="2171"/>
      <c r="N84" s="2389"/>
      <c r="O84" s="2128"/>
      <c r="P84" s="2449"/>
      <c r="Q84" s="2449"/>
      <c r="R84" s="2843"/>
      <c r="S84" s="2747"/>
      <c r="T84" s="1776"/>
      <c r="U84" s="1777"/>
      <c r="V84" s="1777"/>
      <c r="W84" s="2842"/>
      <c r="X84" s="15739"/>
      <c r="Y84" s="1600"/>
      <c r="Z84" s="1600"/>
      <c r="AA84" s="1600"/>
      <c r="AB84" s="1600"/>
      <c r="AC84" s="1600"/>
      <c r="AD84" s="1600"/>
      <c r="AE84" s="1600"/>
      <c r="AF84" s="1600"/>
      <c r="AG84" s="1600"/>
      <c r="AH84" s="1600"/>
      <c r="AI84" s="1600"/>
      <c r="AJ84" s="1600"/>
      <c r="AK84" s="1600"/>
      <c r="AL84" s="15739"/>
      <c r="AM84" s="15739"/>
      <c r="AN84" s="15739"/>
      <c r="AO84" s="15739"/>
      <c r="AP84" s="15739"/>
      <c r="AQ84" s="15739"/>
      <c r="AR84" s="15739"/>
    </row>
    <row customHeight="1" ht="17.25">
      <c r="A85" s="2181"/>
      <c r="B85" s="15739"/>
      <c r="C85" s="2183"/>
      <c r="D85" s="2171"/>
      <c r="E85" s="2188"/>
      <c r="F85" s="2125"/>
      <c r="G85" s="2189"/>
      <c r="H85" s="2171"/>
      <c r="I85" s="2171"/>
      <c r="J85" s="2192"/>
      <c r="K85" s="2189"/>
      <c r="L85" s="2171"/>
      <c r="M85" s="2171"/>
      <c r="N85" s="2389"/>
      <c r="O85" s="2128"/>
      <c r="P85" s="2449" t="s">
        <v>104</v>
      </c>
      <c r="Q85" s="2449" t="s">
        <v>91</v>
      </c>
      <c r="R85" s="2843" t="s">
        <v>274</v>
      </c>
      <c r="S85" s="2747" t="s">
        <v>19</v>
      </c>
      <c r="T85" s="2143"/>
      <c r="U85" s="2143" t="s">
        <v>145</v>
      </c>
      <c r="V85" s="1775"/>
      <c r="W85" s="2842"/>
      <c r="X85" s="15739"/>
      <c r="Y85" s="1608"/>
      <c r="Z85" s="1608"/>
      <c r="AA85" s="1608"/>
      <c r="AB85" s="1608"/>
      <c r="AC85" s="15753" t="s">
        <v>264</v>
      </c>
      <c r="AD85" s="15753" t="s">
        <v>265</v>
      </c>
      <c r="AE85" s="15753" t="s">
        <v>266</v>
      </c>
      <c r="AF85" s="1608" t="s">
        <v>275</v>
      </c>
      <c r="AG85" s="1608" t="s">
        <v>276</v>
      </c>
      <c r="AH85" s="1608" t="str">
        <f>IF($E$79=0,"",$E$79)</f>
        <v>Тариф на питьевую воду (питьевое водоснабжение)</v>
      </c>
      <c r="AI85" s="1608" t="str">
        <f>IF($G$79=0,"",$G$79)</f>
        <v>Холодное водоснабжение. Питьевая вода</v>
      </c>
      <c r="AJ85" s="1608" t="str">
        <f>IF($J$79=0,"",$J$79)</f>
        <v>Тариф на услуги водоснабжения</v>
      </c>
      <c r="AK85" s="1608" t="str">
        <f>IF($K$79="нет","без дифференциации",IF($N$79=0,"",$N$79))</f>
        <v>Территория 1</v>
      </c>
      <c r="AL85" s="2185" t="str">
        <f>IF($O$85="нет","без дифференциации",IF($R$85=0,"",$R$85))</f>
        <v>пгт. Посьет</v>
      </c>
      <c r="AM85" s="2185"/>
      <c r="AN85" s="1608">
        <f>$I$79</f>
        <v>1</v>
      </c>
      <c r="AO85" s="1608" t="str">
        <f>$I$79&amp;"."&amp;$M$79</f>
        <v>1.1</v>
      </c>
      <c r="AP85" s="1608" t="str">
        <f>$I$79&amp;"."&amp;$M$79&amp;"."&amp;$Q$85</f>
        <v>1.1.4</v>
      </c>
      <c r="AQ85" s="1608"/>
      <c r="AR85" s="15739"/>
    </row>
    <row customHeight="1" ht="17.25">
      <c r="A86" s="2181"/>
      <c r="B86" s="15739"/>
      <c r="C86" s="2186"/>
      <c r="D86" s="2171"/>
      <c r="E86" s="2188"/>
      <c r="F86" s="2125"/>
      <c r="G86" s="2189"/>
      <c r="H86" s="2171"/>
      <c r="I86" s="2171"/>
      <c r="J86" s="2192"/>
      <c r="K86" s="2189"/>
      <c r="L86" s="2171"/>
      <c r="M86" s="2171"/>
      <c r="N86" s="2389"/>
      <c r="O86" s="2128"/>
      <c r="P86" s="2449"/>
      <c r="Q86" s="2449"/>
      <c r="R86" s="2843"/>
      <c r="S86" s="2747"/>
      <c r="T86" s="1776"/>
      <c r="U86" s="1777"/>
      <c r="V86" s="1777"/>
      <c r="W86" s="2842"/>
      <c r="X86" s="15739"/>
      <c r="Y86" s="1600"/>
      <c r="Z86" s="1600"/>
      <c r="AA86" s="1600"/>
      <c r="AB86" s="1600"/>
      <c r="AC86" s="1600"/>
      <c r="AD86" s="1600"/>
      <c r="AE86" s="1600"/>
      <c r="AF86" s="1600"/>
      <c r="AG86" s="1600"/>
      <c r="AH86" s="1600"/>
      <c r="AI86" s="1600"/>
      <c r="AJ86" s="1600"/>
      <c r="AK86" s="1600"/>
      <c r="AL86" s="15739"/>
      <c r="AM86" s="15739"/>
      <c r="AN86" s="15739"/>
      <c r="AO86" s="15739"/>
      <c r="AP86" s="15739"/>
      <c r="AQ86" s="15739"/>
      <c r="AR86" s="15739"/>
    </row>
    <row customHeight="1" ht="17.25">
      <c r="A87" s="2181"/>
      <c r="B87" s="15739"/>
      <c r="C87" s="2183"/>
      <c r="D87" s="2171"/>
      <c r="E87" s="2188"/>
      <c r="F87" s="2125"/>
      <c r="G87" s="2189"/>
      <c r="H87" s="2171"/>
      <c r="I87" s="2171"/>
      <c r="J87" s="2192"/>
      <c r="K87" s="2189"/>
      <c r="L87" s="2171"/>
      <c r="M87" s="2171"/>
      <c r="N87" s="2389"/>
      <c r="O87" s="2128"/>
      <c r="P87" s="2449" t="s">
        <v>104</v>
      </c>
      <c r="Q87" s="2449" t="s">
        <v>116</v>
      </c>
      <c r="R87" s="2843" t="s">
        <v>277</v>
      </c>
      <c r="S87" s="2747" t="s">
        <v>19</v>
      </c>
      <c r="T87" s="2143"/>
      <c r="U87" s="2143" t="s">
        <v>145</v>
      </c>
      <c r="V87" s="1775"/>
      <c r="W87" s="2842"/>
      <c r="X87" s="15739"/>
      <c r="Y87" s="1608"/>
      <c r="Z87" s="1608"/>
      <c r="AA87" s="1608"/>
      <c r="AB87" s="1608"/>
      <c r="AC87" s="15753" t="s">
        <v>264</v>
      </c>
      <c r="AD87" s="15753" t="s">
        <v>265</v>
      </c>
      <c r="AE87" s="15753" t="s">
        <v>266</v>
      </c>
      <c r="AF87" s="1608" t="s">
        <v>278</v>
      </c>
      <c r="AG87" s="1608" t="s">
        <v>279</v>
      </c>
      <c r="AH87" s="1608" t="str">
        <f>IF($E$79=0,"",$E$79)</f>
        <v>Тариф на питьевую воду (питьевое водоснабжение)</v>
      </c>
      <c r="AI87" s="1608" t="str">
        <f>IF($G$79=0,"",$G$79)</f>
        <v>Холодное водоснабжение. Питьевая вода</v>
      </c>
      <c r="AJ87" s="1608" t="str">
        <f>IF($J$79=0,"",$J$79)</f>
        <v>Тариф на услуги водоснабжения</v>
      </c>
      <c r="AK87" s="1608" t="str">
        <f>IF($K$79="нет","без дифференциации",IF($N$79=0,"",$N$79))</f>
        <v>Территория 1</v>
      </c>
      <c r="AL87" s="2185" t="str">
        <f>IF($O$87="нет","без дифференциации",IF($R$87=0,"",$R$87))</f>
        <v>пгт. Приморский</v>
      </c>
      <c r="AM87" s="2185"/>
      <c r="AN87" s="1608">
        <f>$I$79</f>
        <v>1</v>
      </c>
      <c r="AO87" s="1608" t="str">
        <f>$I$79&amp;"."&amp;$M$79</f>
        <v>1.1</v>
      </c>
      <c r="AP87" s="1608" t="str">
        <f>$I$79&amp;"."&amp;$M$79&amp;"."&amp;$Q$87</f>
        <v>1.1.5</v>
      </c>
      <c r="AQ87" s="1608"/>
      <c r="AR87" s="15739"/>
    </row>
    <row customHeight="1" ht="17.25">
      <c r="A88" s="2181"/>
      <c r="B88" s="15739"/>
      <c r="C88" s="2186"/>
      <c r="D88" s="2171"/>
      <c r="E88" s="2188"/>
      <c r="F88" s="2125"/>
      <c r="G88" s="2189"/>
      <c r="H88" s="2171"/>
      <c r="I88" s="2171"/>
      <c r="J88" s="2192"/>
      <c r="K88" s="2189"/>
      <c r="L88" s="2171"/>
      <c r="M88" s="2171"/>
      <c r="N88" s="2389"/>
      <c r="O88" s="2128"/>
      <c r="P88" s="2449"/>
      <c r="Q88" s="2449"/>
      <c r="R88" s="2843"/>
      <c r="S88" s="2747"/>
      <c r="T88" s="1776"/>
      <c r="U88" s="1777"/>
      <c r="V88" s="1777"/>
      <c r="W88" s="2842"/>
      <c r="X88" s="15739"/>
      <c r="Y88" s="1600"/>
      <c r="Z88" s="1600"/>
      <c r="AA88" s="1600"/>
      <c r="AB88" s="1600"/>
      <c r="AC88" s="1600"/>
      <c r="AD88" s="1600"/>
      <c r="AE88" s="1600"/>
      <c r="AF88" s="1600"/>
      <c r="AG88" s="1600"/>
      <c r="AH88" s="1600"/>
      <c r="AI88" s="1600"/>
      <c r="AJ88" s="1600"/>
      <c r="AK88" s="1600"/>
      <c r="AL88" s="15739"/>
      <c r="AM88" s="15739"/>
      <c r="AN88" s="15739"/>
      <c r="AO88" s="15739"/>
      <c r="AP88" s="15739"/>
      <c r="AQ88" s="15739"/>
      <c r="AR88" s="15739"/>
    </row>
    <row s="21825" customFormat="1" customHeight="1" ht="17.25">
      <c r="A89" s="662"/>
      <c r="C89" s="550"/>
      <c r="D89" s="2476"/>
      <c r="E89" s="2484"/>
      <c r="F89" s="2487"/>
      <c r="G89" s="3426"/>
      <c r="H89" s="3457"/>
      <c r="I89" s="3457"/>
      <c r="J89" s="3458"/>
      <c r="K89" s="3435"/>
      <c r="L89" s="3457"/>
      <c r="M89" s="3457"/>
      <c r="N89" s="3459"/>
      <c r="O89" s="3460"/>
      <c r="P89" s="3461"/>
      <c r="Q89" s="3462"/>
      <c r="R89" s="3463" t="s">
        <v>280</v>
      </c>
      <c r="S89" s="3464"/>
      <c r="T89" s="3465"/>
      <c r="U89" s="3466"/>
      <c r="V89" s="3467"/>
      <c r="W89" s="3468"/>
      <c r="Y89" s="1608"/>
      <c r="Z89" s="1608"/>
      <c r="AA89" s="1608"/>
      <c r="AB89" s="1608"/>
      <c r="AC89" s="1608"/>
      <c r="AD89" s="1608"/>
      <c r="AE89" s="1608"/>
      <c r="AF89" s="1608"/>
      <c r="AG89" s="1608"/>
      <c r="AH89" s="1608"/>
      <c r="AI89" s="1608"/>
      <c r="AJ89" s="1608"/>
      <c r="AK89" s="1608"/>
      <c r="AL89" s="1608"/>
      <c r="AM89" s="1608"/>
      <c r="AN89" s="1608"/>
      <c r="AO89" s="1608"/>
      <c r="AP89" s="1608"/>
      <c r="AQ89" s="1608"/>
      <c r="AR89" s="1782">
        <v>0</v>
      </c>
    </row>
    <row customHeight="1" ht="17.25">
      <c r="A90" s="2181"/>
      <c r="B90" s="6291"/>
      <c r="C90" s="2183"/>
      <c r="D90" s="2171"/>
      <c r="E90" s="2188"/>
      <c r="F90" s="2125"/>
      <c r="G90" s="2189"/>
      <c r="H90" s="2171"/>
      <c r="I90" s="2171"/>
      <c r="J90" s="2192"/>
      <c r="K90" s="2189"/>
      <c r="L90" s="2449" t="s">
        <v>104</v>
      </c>
      <c r="M90" s="2449" t="s">
        <v>103</v>
      </c>
      <c r="N90" s="2845" t="str">
        <f>IF(Z90="","",INDEX(TERRITORY_MR_LIST,MATCH(Z90,TERRITORY_LIST_ID,0)))</f>
        <v>Территория 2</v>
      </c>
      <c r="O90" s="2526" t="s">
        <v>66</v>
      </c>
      <c r="P90" s="2449"/>
      <c r="Q90" s="2449" t="s">
        <v>145</v>
      </c>
      <c r="R90" s="2843" t="s">
        <v>281</v>
      </c>
      <c r="S90" s="2747" t="s">
        <v>19</v>
      </c>
      <c r="T90" s="2143"/>
      <c r="U90" s="2143" t="s">
        <v>145</v>
      </c>
      <c r="V90" s="1775"/>
      <c r="W90" s="2842"/>
      <c r="X90" s="6291"/>
      <c r="Y90" s="1608"/>
      <c r="Z90" s="1608" t="s">
        <v>105</v>
      </c>
      <c r="AA90" s="1608"/>
      <c r="AB90" s="1608"/>
      <c r="AC90" s="6305" t="s">
        <v>264</v>
      </c>
      <c r="AD90" s="6305" t="s">
        <v>265</v>
      </c>
      <c r="AE90" s="1608" t="s">
        <v>282</v>
      </c>
      <c r="AF90" s="1608" t="s">
        <v>283</v>
      </c>
      <c r="AG90" s="1608" t="s">
        <v>284</v>
      </c>
      <c r="AH90" s="1608" t="str">
        <f>IF($E$79=0,"",$E$79)</f>
        <v>Тариф на питьевую воду (питьевое водоснабжение)</v>
      </c>
      <c r="AI90" s="1608" t="str">
        <f>IF($G$79=0,"",$G$79)</f>
        <v>Холодное водоснабжение. Питьевая вода</v>
      </c>
      <c r="AJ90" s="1608" t="str">
        <f>IF($J$79=0,"",$J$79)</f>
        <v>Тариф на услуги водоснабжения</v>
      </c>
      <c r="AK90" s="1608" t="str">
        <f>IF($K$90="нет","без дифференциации",IF($N$90=0,"",$N$90))</f>
        <v>Территория 2</v>
      </c>
      <c r="AL90" s="2185" t="str">
        <f>IF($O$90="нет","без дифференциации",IF($R$90=0,"",$R$90))</f>
        <v>с. Романовка</v>
      </c>
      <c r="AM90" s="2185"/>
      <c r="AN90" s="1608">
        <f>$I$79</f>
        <v>1</v>
      </c>
      <c r="AO90" s="1608" t="str">
        <f>$I$79&amp;"."&amp;$M$90</f>
        <v>1.2</v>
      </c>
      <c r="AP90" s="1608" t="str">
        <f>$I$79&amp;"."&amp;$M$90&amp;"."&amp;$Q$90</f>
        <v>1.2.1</v>
      </c>
      <c r="AQ90" s="1608"/>
      <c r="AR90" s="6291"/>
    </row>
    <row customHeight="1" ht="17.25">
      <c r="A91" s="2181"/>
      <c r="B91" s="6291"/>
      <c r="C91" s="2186"/>
      <c r="D91" s="2171"/>
      <c r="E91" s="2188"/>
      <c r="F91" s="2125"/>
      <c r="G91" s="2189"/>
      <c r="H91" s="2171"/>
      <c r="I91" s="2171"/>
      <c r="J91" s="2192"/>
      <c r="K91" s="2189"/>
      <c r="L91" s="2449"/>
      <c r="M91" s="2449"/>
      <c r="N91" s="2845"/>
      <c r="O91" s="2527"/>
      <c r="P91" s="2449"/>
      <c r="Q91" s="2449"/>
      <c r="R91" s="2843"/>
      <c r="S91" s="2747"/>
      <c r="T91" s="1776"/>
      <c r="U91" s="1777"/>
      <c r="V91" s="1777"/>
      <c r="W91" s="2842"/>
      <c r="X91" s="6291"/>
      <c r="Y91" s="1600"/>
      <c r="Z91" s="1600"/>
      <c r="AA91" s="1600"/>
      <c r="AB91" s="1600"/>
      <c r="AC91" s="1600"/>
      <c r="AD91" s="1600"/>
      <c r="AE91" s="1600"/>
      <c r="AF91" s="1600"/>
      <c r="AG91" s="1600"/>
      <c r="AH91" s="1600"/>
      <c r="AI91" s="1600"/>
      <c r="AJ91" s="1600"/>
      <c r="AK91" s="1600"/>
      <c r="AL91" s="6291"/>
      <c r="AM91" s="6291"/>
      <c r="AN91" s="6291"/>
      <c r="AO91" s="6291"/>
      <c r="AP91" s="6291"/>
      <c r="AQ91" s="6291"/>
      <c r="AR91" s="6291"/>
    </row>
    <row customHeight="1" ht="17.25">
      <c r="A92" s="2181"/>
      <c r="B92" s="15739"/>
      <c r="C92" s="2183"/>
      <c r="D92" s="2171"/>
      <c r="E92" s="2188"/>
      <c r="F92" s="2125"/>
      <c r="G92" s="2189"/>
      <c r="H92" s="2171"/>
      <c r="I92" s="2171"/>
      <c r="J92" s="2192"/>
      <c r="K92" s="2189"/>
      <c r="L92" s="2171"/>
      <c r="M92" s="2171"/>
      <c r="N92" s="2389"/>
      <c r="O92" s="2128"/>
      <c r="P92" s="2449" t="s">
        <v>104</v>
      </c>
      <c r="Q92" s="2449" t="s">
        <v>103</v>
      </c>
      <c r="R92" s="2843" t="s">
        <v>285</v>
      </c>
      <c r="S92" s="2747" t="s">
        <v>19</v>
      </c>
      <c r="T92" s="2143"/>
      <c r="U92" s="2143" t="s">
        <v>145</v>
      </c>
      <c r="V92" s="1775"/>
      <c r="W92" s="2842"/>
      <c r="X92" s="15739"/>
      <c r="Y92" s="1608"/>
      <c r="Z92" s="1608"/>
      <c r="AA92" s="1608"/>
      <c r="AB92" s="1608"/>
      <c r="AC92" s="15753" t="s">
        <v>264</v>
      </c>
      <c r="AD92" s="15753" t="s">
        <v>265</v>
      </c>
      <c r="AE92" s="15753" t="s">
        <v>282</v>
      </c>
      <c r="AF92" s="1608" t="s">
        <v>286</v>
      </c>
      <c r="AG92" s="1608" t="s">
        <v>287</v>
      </c>
      <c r="AH92" s="1608" t="str">
        <f>IF($E$79=0,"",$E$79)</f>
        <v>Тариф на питьевую воду (питьевое водоснабжение)</v>
      </c>
      <c r="AI92" s="1608" t="str">
        <f>IF($G$79=0,"",$G$79)</f>
        <v>Холодное водоснабжение. Питьевая вода</v>
      </c>
      <c r="AJ92" s="1608" t="str">
        <f>IF($J$79=0,"",$J$79)</f>
        <v>Тариф на услуги водоснабжения</v>
      </c>
      <c r="AK92" s="1608" t="str">
        <f>IF($K$90="нет","без дифференциации",IF($N$90=0,"",$N$90))</f>
        <v>Территория 2</v>
      </c>
      <c r="AL92" s="2185" t="str">
        <f>IF($O$92="нет","без дифференциации",IF($R$92=0,"",$R$92))</f>
        <v>с. Многоудобное</v>
      </c>
      <c r="AM92" s="2185"/>
      <c r="AN92" s="1608">
        <f>$I$79</f>
        <v>1</v>
      </c>
      <c r="AO92" s="1608" t="str">
        <f>$I$79&amp;"."&amp;$M$90</f>
        <v>1.2</v>
      </c>
      <c r="AP92" s="1608" t="str">
        <f>$I$79&amp;"."&amp;$M$90&amp;"."&amp;$Q$92</f>
        <v>1.2.2</v>
      </c>
      <c r="AQ92" s="1608"/>
      <c r="AR92" s="15739"/>
    </row>
    <row customHeight="1" ht="17.25">
      <c r="A93" s="2181"/>
      <c r="B93" s="15739"/>
      <c r="C93" s="2186"/>
      <c r="D93" s="2171"/>
      <c r="E93" s="2188"/>
      <c r="F93" s="2125"/>
      <c r="G93" s="2189"/>
      <c r="H93" s="2171"/>
      <c r="I93" s="2171"/>
      <c r="J93" s="2192"/>
      <c r="K93" s="2189"/>
      <c r="L93" s="2171"/>
      <c r="M93" s="2171"/>
      <c r="N93" s="2389"/>
      <c r="O93" s="2128"/>
      <c r="P93" s="2449"/>
      <c r="Q93" s="2449"/>
      <c r="R93" s="2843"/>
      <c r="S93" s="2747"/>
      <c r="T93" s="1776"/>
      <c r="U93" s="1777"/>
      <c r="V93" s="1777"/>
      <c r="W93" s="2842"/>
      <c r="X93" s="15739"/>
      <c r="Y93" s="1600"/>
      <c r="Z93" s="1600"/>
      <c r="AA93" s="1600"/>
      <c r="AB93" s="1600"/>
      <c r="AC93" s="1600"/>
      <c r="AD93" s="1600"/>
      <c r="AE93" s="1600"/>
      <c r="AF93" s="1600"/>
      <c r="AG93" s="1600"/>
      <c r="AH93" s="1600"/>
      <c r="AI93" s="1600"/>
      <c r="AJ93" s="1600"/>
      <c r="AK93" s="1600"/>
      <c r="AL93" s="15739"/>
      <c r="AM93" s="15739"/>
      <c r="AN93" s="15739"/>
      <c r="AO93" s="15739"/>
      <c r="AP93" s="15739"/>
      <c r="AQ93" s="15739"/>
      <c r="AR93" s="15739"/>
    </row>
    <row customHeight="1" ht="17.25">
      <c r="A94" s="2181"/>
      <c r="B94" s="6291"/>
      <c r="C94" s="2186"/>
      <c r="D94" s="2171"/>
      <c r="E94" s="2188"/>
      <c r="F94" s="2125"/>
      <c r="G94" s="2189"/>
      <c r="H94" s="2171"/>
      <c r="I94" s="2171"/>
      <c r="J94" s="2192"/>
      <c r="K94" s="2189"/>
      <c r="L94" s="2844"/>
      <c r="M94" s="2844"/>
      <c r="N94" s="2846"/>
      <c r="O94" s="2453"/>
      <c r="P94" s="658"/>
      <c r="Q94" s="659"/>
      <c r="R94" s="659" t="s">
        <v>280</v>
      </c>
      <c r="S94" s="2187"/>
      <c r="T94" s="2187"/>
      <c r="U94" s="2187"/>
      <c r="V94" s="2187"/>
      <c r="W94" s="1774"/>
      <c r="X94" s="6291"/>
      <c r="Y94" s="1600"/>
      <c r="Z94" s="1600"/>
      <c r="AA94" s="1600"/>
      <c r="AB94" s="1600"/>
      <c r="AC94" s="1600"/>
      <c r="AD94" s="1600"/>
      <c r="AE94" s="1600"/>
      <c r="AF94" s="1600"/>
      <c r="AG94" s="1600"/>
      <c r="AH94" s="1600"/>
      <c r="AI94" s="1600"/>
      <c r="AJ94" s="1600"/>
      <c r="AK94" s="1600"/>
      <c r="AL94" s="6291"/>
      <c r="AM94" s="6291"/>
      <c r="AN94" s="6291"/>
      <c r="AO94" s="6291"/>
      <c r="AP94" s="6291"/>
      <c r="AQ94" s="6291"/>
      <c r="AR94" s="6291"/>
    </row>
    <row customHeight="1" ht="17.25">
      <c r="A95" s="2181"/>
      <c r="B95" s="15739"/>
      <c r="C95" s="2183"/>
      <c r="D95" s="2171"/>
      <c r="E95" s="2188"/>
      <c r="F95" s="2125"/>
      <c r="G95" s="2189"/>
      <c r="H95" s="2171"/>
      <c r="I95" s="2171"/>
      <c r="J95" s="2192"/>
      <c r="K95" s="2189"/>
      <c r="L95" s="2449" t="s">
        <v>104</v>
      </c>
      <c r="M95" s="2449" t="s">
        <v>90</v>
      </c>
      <c r="N95" s="2845" t="str">
        <f>IF(Z95="","",INDEX(TERRITORY_MR_LIST,MATCH(Z95,TERRITORY_LIST_ID,0)))</f>
        <v>Территория 3</v>
      </c>
      <c r="O95" s="2526" t="s">
        <v>66</v>
      </c>
      <c r="P95" s="2449"/>
      <c r="Q95" s="2449" t="s">
        <v>145</v>
      </c>
      <c r="R95" s="2843" t="s">
        <v>288</v>
      </c>
      <c r="S95" s="2747" t="s">
        <v>19</v>
      </c>
      <c r="T95" s="2143"/>
      <c r="U95" s="2143" t="s">
        <v>145</v>
      </c>
      <c r="V95" s="1775"/>
      <c r="W95" s="2842"/>
      <c r="X95" s="15739"/>
      <c r="Y95" s="1608"/>
      <c r="Z95" s="1608" t="s">
        <v>109</v>
      </c>
      <c r="AA95" s="1608"/>
      <c r="AB95" s="1608"/>
      <c r="AC95" s="15753" t="s">
        <v>264</v>
      </c>
      <c r="AD95" s="15753" t="s">
        <v>265</v>
      </c>
      <c r="AE95" s="1608" t="s">
        <v>289</v>
      </c>
      <c r="AF95" s="1608" t="s">
        <v>290</v>
      </c>
      <c r="AG95" s="1608" t="s">
        <v>291</v>
      </c>
      <c r="AH95" s="1608" t="str">
        <f>IF($E$79=0,"",$E$79)</f>
        <v>Тариф на питьевую воду (питьевое водоснабжение)</v>
      </c>
      <c r="AI95" s="1608" t="str">
        <f>IF($G$79=0,"",$G$79)</f>
        <v>Холодное водоснабжение. Питьевая вода</v>
      </c>
      <c r="AJ95" s="1608" t="str">
        <f>IF($J$79=0,"",$J$79)</f>
        <v>Тариф на услуги водоснабжения</v>
      </c>
      <c r="AK95" s="1608" t="str">
        <f>IF($K$95="нет","без дифференциации",IF($N$95=0,"",$N$95))</f>
        <v>Территория 3</v>
      </c>
      <c r="AL95" s="2185" t="str">
        <f>IF($O$95="нет","без дифференциации",IF($R$95=0,"",$R$95))</f>
        <v>Военный городок Графский</v>
      </c>
      <c r="AM95" s="2185"/>
      <c r="AN95" s="1608">
        <f>$I$79</f>
        <v>1</v>
      </c>
      <c r="AO95" s="1608" t="str">
        <f>$I$79&amp;"."&amp;$M$95</f>
        <v>1.3</v>
      </c>
      <c r="AP95" s="1608" t="str">
        <f>$I$79&amp;"."&amp;$M$95&amp;"."&amp;$Q$95</f>
        <v>1.3.1</v>
      </c>
      <c r="AQ95" s="1608"/>
      <c r="AR95" s="15739"/>
    </row>
    <row customHeight="1" ht="17.25">
      <c r="A96" s="2181"/>
      <c r="B96" s="15739"/>
      <c r="C96" s="2186"/>
      <c r="D96" s="2171"/>
      <c r="E96" s="2188"/>
      <c r="F96" s="2125"/>
      <c r="G96" s="2189"/>
      <c r="H96" s="2171"/>
      <c r="I96" s="2171"/>
      <c r="J96" s="2192"/>
      <c r="K96" s="2189"/>
      <c r="L96" s="2449"/>
      <c r="M96" s="2449"/>
      <c r="N96" s="2845"/>
      <c r="O96" s="2527"/>
      <c r="P96" s="2449"/>
      <c r="Q96" s="2449"/>
      <c r="R96" s="2843"/>
      <c r="S96" s="2747"/>
      <c r="T96" s="1776"/>
      <c r="U96" s="1777"/>
      <c r="V96" s="1777"/>
      <c r="W96" s="2842"/>
      <c r="X96" s="15739"/>
      <c r="Y96" s="1600"/>
      <c r="Z96" s="1600"/>
      <c r="AA96" s="1600"/>
      <c r="AB96" s="1600"/>
      <c r="AC96" s="1600"/>
      <c r="AD96" s="1600"/>
      <c r="AE96" s="1600"/>
      <c r="AF96" s="1600"/>
      <c r="AG96" s="1600"/>
      <c r="AH96" s="1600"/>
      <c r="AI96" s="1600"/>
      <c r="AJ96" s="1600"/>
      <c r="AK96" s="1600"/>
      <c r="AL96" s="15739"/>
      <c r="AM96" s="15739"/>
      <c r="AN96" s="15739"/>
      <c r="AO96" s="15739"/>
      <c r="AP96" s="15739"/>
      <c r="AQ96" s="15739"/>
      <c r="AR96" s="15739"/>
    </row>
    <row customHeight="1" ht="17.25">
      <c r="A97" s="2181"/>
      <c r="B97" s="15739"/>
      <c r="C97" s="2186"/>
      <c r="D97" s="2171"/>
      <c r="E97" s="2188"/>
      <c r="F97" s="2125"/>
      <c r="G97" s="2189"/>
      <c r="H97" s="2171"/>
      <c r="I97" s="2171"/>
      <c r="J97" s="2192"/>
      <c r="K97" s="2189"/>
      <c r="L97" s="2844"/>
      <c r="M97" s="2844"/>
      <c r="N97" s="2846"/>
      <c r="O97" s="2453"/>
      <c r="P97" s="658"/>
      <c r="Q97" s="659"/>
      <c r="R97" s="659" t="s">
        <v>280</v>
      </c>
      <c r="S97" s="2187"/>
      <c r="T97" s="2187"/>
      <c r="U97" s="2187"/>
      <c r="V97" s="2187"/>
      <c r="W97" s="1774"/>
      <c r="X97" s="15739"/>
      <c r="Y97" s="1600"/>
      <c r="Z97" s="1600"/>
      <c r="AA97" s="1600"/>
      <c r="AB97" s="1600"/>
      <c r="AC97" s="1600"/>
      <c r="AD97" s="1600"/>
      <c r="AE97" s="1600"/>
      <c r="AF97" s="1600"/>
      <c r="AG97" s="1600"/>
      <c r="AH97" s="1600"/>
      <c r="AI97" s="1600"/>
      <c r="AJ97" s="1600"/>
      <c r="AK97" s="1600"/>
      <c r="AL97" s="15739"/>
      <c r="AM97" s="15739"/>
      <c r="AN97" s="15739"/>
      <c r="AO97" s="15739"/>
      <c r="AP97" s="15739"/>
      <c r="AQ97" s="15739"/>
      <c r="AR97" s="15739"/>
    </row>
    <row customHeight="1" ht="17.25">
      <c r="A98" s="2181"/>
      <c r="B98" s="15739"/>
      <c r="C98" s="2183"/>
      <c r="D98" s="2171"/>
      <c r="E98" s="2188"/>
      <c r="F98" s="2125"/>
      <c r="G98" s="2189"/>
      <c r="H98" s="2171"/>
      <c r="I98" s="2171"/>
      <c r="J98" s="2192"/>
      <c r="K98" s="2189"/>
      <c r="L98" s="2449" t="s">
        <v>104</v>
      </c>
      <c r="M98" s="2449" t="s">
        <v>91</v>
      </c>
      <c r="N98" s="2845" t="str">
        <f>IF(Z98="","",INDEX(TERRITORY_MR_LIST,MATCH(Z98,TERRITORY_LIST_ID,0)))</f>
        <v>Территория 4</v>
      </c>
      <c r="O98" s="2526" t="s">
        <v>66</v>
      </c>
      <c r="P98" s="2449"/>
      <c r="Q98" s="2449" t="s">
        <v>145</v>
      </c>
      <c r="R98" s="2843" t="s">
        <v>292</v>
      </c>
      <c r="S98" s="2747" t="s">
        <v>19</v>
      </c>
      <c r="T98" s="2143"/>
      <c r="U98" s="2143" t="s">
        <v>145</v>
      </c>
      <c r="V98" s="1775"/>
      <c r="W98" s="2842"/>
      <c r="X98" s="15739"/>
      <c r="Y98" s="1608"/>
      <c r="Z98" s="1608" t="s">
        <v>112</v>
      </c>
      <c r="AA98" s="1608"/>
      <c r="AB98" s="1608"/>
      <c r="AC98" s="15753" t="s">
        <v>264</v>
      </c>
      <c r="AD98" s="15753" t="s">
        <v>265</v>
      </c>
      <c r="AE98" s="1608" t="s">
        <v>293</v>
      </c>
      <c r="AF98" s="1608" t="s">
        <v>294</v>
      </c>
      <c r="AG98" s="1608" t="s">
        <v>295</v>
      </c>
      <c r="AH98" s="1608" t="str">
        <f>IF($E$79=0,"",$E$79)</f>
        <v>Тариф на питьевую воду (питьевое водоснабжение)</v>
      </c>
      <c r="AI98" s="1608" t="str">
        <f>IF($G$79=0,"",$G$79)</f>
        <v>Холодное водоснабжение. Питьевая вода</v>
      </c>
      <c r="AJ98" s="1608" t="str">
        <f>IF($J$79=0,"",$J$79)</f>
        <v>Тариф на услуги водоснабжения</v>
      </c>
      <c r="AK98" s="1608" t="str">
        <f>IF($K$98="нет","без дифференциации",IF($N$98=0,"",$N$98))</f>
        <v>Территория 4</v>
      </c>
      <c r="AL98" s="2185" t="str">
        <f>IF($O$98="нет","без дифференциации",IF($R$98=0,"",$R$98))</f>
        <v>с. Глубинное </v>
      </c>
      <c r="AM98" s="2185"/>
      <c r="AN98" s="1608">
        <f>$I$79</f>
        <v>1</v>
      </c>
      <c r="AO98" s="1608" t="str">
        <f>$I$79&amp;"."&amp;$M$98</f>
        <v>1.4</v>
      </c>
      <c r="AP98" s="1608" t="str">
        <f>$I$79&amp;"."&amp;$M$98&amp;"."&amp;$Q$98</f>
        <v>1.4.1</v>
      </c>
      <c r="AQ98" s="1608"/>
      <c r="AR98" s="15739"/>
    </row>
    <row customHeight="1" ht="17.25">
      <c r="A99" s="2181"/>
      <c r="B99" s="15739"/>
      <c r="C99" s="2186"/>
      <c r="D99" s="2171"/>
      <c r="E99" s="2188"/>
      <c r="F99" s="2125"/>
      <c r="G99" s="2189"/>
      <c r="H99" s="2171"/>
      <c r="I99" s="2171"/>
      <c r="J99" s="2192"/>
      <c r="K99" s="2189"/>
      <c r="L99" s="2449"/>
      <c r="M99" s="2449"/>
      <c r="N99" s="2845"/>
      <c r="O99" s="2527"/>
      <c r="P99" s="2449"/>
      <c r="Q99" s="2449"/>
      <c r="R99" s="2843"/>
      <c r="S99" s="2747"/>
      <c r="T99" s="1776"/>
      <c r="U99" s="1777"/>
      <c r="V99" s="1777"/>
      <c r="W99" s="2842"/>
      <c r="X99" s="15739"/>
      <c r="Y99" s="1600"/>
      <c r="Z99" s="1600"/>
      <c r="AA99" s="1600"/>
      <c r="AB99" s="1600"/>
      <c r="AC99" s="1600"/>
      <c r="AD99" s="1600"/>
      <c r="AE99" s="1600"/>
      <c r="AF99" s="1600"/>
      <c r="AG99" s="1600"/>
      <c r="AH99" s="1600"/>
      <c r="AI99" s="1600"/>
      <c r="AJ99" s="1600"/>
      <c r="AK99" s="1600"/>
      <c r="AL99" s="15739"/>
      <c r="AM99" s="15739"/>
      <c r="AN99" s="15739"/>
      <c r="AO99" s="15739"/>
      <c r="AP99" s="15739"/>
      <c r="AQ99" s="15739"/>
      <c r="AR99" s="15739"/>
    </row>
    <row customHeight="1" ht="17.25">
      <c r="A100" s="2181"/>
      <c r="B100" s="15739"/>
      <c r="C100" s="2186"/>
      <c r="D100" s="2171"/>
      <c r="E100" s="2188"/>
      <c r="F100" s="2125"/>
      <c r="G100" s="2189"/>
      <c r="H100" s="2171"/>
      <c r="I100" s="2171"/>
      <c r="J100" s="2192"/>
      <c r="K100" s="2189"/>
      <c r="L100" s="2844"/>
      <c r="M100" s="2844"/>
      <c r="N100" s="2846"/>
      <c r="O100" s="2453"/>
      <c r="P100" s="658"/>
      <c r="Q100" s="659"/>
      <c r="R100" s="659" t="s">
        <v>280</v>
      </c>
      <c r="S100" s="2187"/>
      <c r="T100" s="2187"/>
      <c r="U100" s="2187"/>
      <c r="V100" s="2187"/>
      <c r="W100" s="1774"/>
      <c r="X100" s="15739"/>
      <c r="Y100" s="1600"/>
      <c r="Z100" s="1600"/>
      <c r="AA100" s="1600"/>
      <c r="AB100" s="1600"/>
      <c r="AC100" s="1600"/>
      <c r="AD100" s="1600"/>
      <c r="AE100" s="1600"/>
      <c r="AF100" s="1600"/>
      <c r="AG100" s="1600"/>
      <c r="AH100" s="1600"/>
      <c r="AI100" s="1600"/>
      <c r="AJ100" s="1600"/>
      <c r="AK100" s="1600"/>
      <c r="AL100" s="15739"/>
      <c r="AM100" s="15739"/>
      <c r="AN100" s="15739"/>
      <c r="AO100" s="15739"/>
      <c r="AP100" s="15739"/>
      <c r="AQ100" s="15739"/>
      <c r="AR100" s="15739"/>
    </row>
    <row customHeight="1" ht="17.25">
      <c r="A101" s="2181"/>
      <c r="B101" s="15739"/>
      <c r="C101" s="2183"/>
      <c r="D101" s="2171"/>
      <c r="E101" s="2188"/>
      <c r="F101" s="2125"/>
      <c r="G101" s="2189"/>
      <c r="H101" s="2171"/>
      <c r="I101" s="2171"/>
      <c r="J101" s="2192"/>
      <c r="K101" s="2189"/>
      <c r="L101" s="2449" t="s">
        <v>104</v>
      </c>
      <c r="M101" s="2449" t="s">
        <v>116</v>
      </c>
      <c r="N101" s="2845" t="str">
        <f>IF(Z101="","",INDEX(TERRITORY_MR_LIST,MATCH(Z101,TERRITORY_LIST_ID,0)))</f>
        <v>Территория 5</v>
      </c>
      <c r="O101" s="2526" t="s">
        <v>66</v>
      </c>
      <c r="P101" s="2449"/>
      <c r="Q101" s="2449" t="s">
        <v>145</v>
      </c>
      <c r="R101" s="2843" t="s">
        <v>296</v>
      </c>
      <c r="S101" s="2747" t="s">
        <v>19</v>
      </c>
      <c r="T101" s="2143"/>
      <c r="U101" s="2143" t="s">
        <v>145</v>
      </c>
      <c r="V101" s="1775"/>
      <c r="W101" s="2842"/>
      <c r="X101" s="15739"/>
      <c r="Y101" s="1608"/>
      <c r="Z101" s="1608" t="s">
        <v>117</v>
      </c>
      <c r="AA101" s="1608"/>
      <c r="AB101" s="1608"/>
      <c r="AC101" s="15753" t="s">
        <v>264</v>
      </c>
      <c r="AD101" s="15753" t="s">
        <v>265</v>
      </c>
      <c r="AE101" s="1608" t="s">
        <v>297</v>
      </c>
      <c r="AF101" s="1608" t="s">
        <v>298</v>
      </c>
      <c r="AG101" s="1608" t="s">
        <v>299</v>
      </c>
      <c r="AH101" s="1608" t="str">
        <f>IF($E$79=0,"",$E$79)</f>
        <v>Тариф на питьевую воду (питьевое водоснабжение)</v>
      </c>
      <c r="AI101" s="1608" t="str">
        <f>IF($G$79=0,"",$G$79)</f>
        <v>Холодное водоснабжение. Питьевая вода</v>
      </c>
      <c r="AJ101" s="1608" t="str">
        <f>IF($J$79=0,"",$J$79)</f>
        <v>Тариф на услуги водоснабжения</v>
      </c>
      <c r="AK101" s="1608" t="str">
        <f>IF($K$101="нет","без дифференциации",IF($N$101=0,"",$N$101))</f>
        <v>Территория 5</v>
      </c>
      <c r="AL101" s="2185" t="str">
        <f>IF($O$101="нет","без дифференциации",IF($R$101=0,"",$R$101))</f>
        <v>Кавалеровский МО</v>
      </c>
      <c r="AM101" s="2185"/>
      <c r="AN101" s="1608">
        <f>$I$79</f>
        <v>1</v>
      </c>
      <c r="AO101" s="1608" t="str">
        <f>$I$79&amp;"."&amp;$M$101</f>
        <v>1.5</v>
      </c>
      <c r="AP101" s="1608" t="str">
        <f>$I$79&amp;"."&amp;$M$101&amp;"."&amp;$Q$101</f>
        <v>1.5.1</v>
      </c>
      <c r="AQ101" s="1608"/>
      <c r="AR101" s="15739"/>
    </row>
    <row customHeight="1" ht="17.25">
      <c r="A102" s="2181"/>
      <c r="B102" s="15739"/>
      <c r="C102" s="2186"/>
      <c r="D102" s="2171"/>
      <c r="E102" s="2188"/>
      <c r="F102" s="2125"/>
      <c r="G102" s="2189"/>
      <c r="H102" s="2171"/>
      <c r="I102" s="2171"/>
      <c r="J102" s="2192"/>
      <c r="K102" s="2189"/>
      <c r="L102" s="2449"/>
      <c r="M102" s="2449"/>
      <c r="N102" s="2845"/>
      <c r="O102" s="2527"/>
      <c r="P102" s="2449"/>
      <c r="Q102" s="2449"/>
      <c r="R102" s="2843"/>
      <c r="S102" s="2747"/>
      <c r="T102" s="1776"/>
      <c r="U102" s="1777"/>
      <c r="V102" s="1777"/>
      <c r="W102" s="2842"/>
      <c r="X102" s="15739"/>
      <c r="Y102" s="1600"/>
      <c r="Z102" s="1600"/>
      <c r="AA102" s="1600"/>
      <c r="AB102" s="1600"/>
      <c r="AC102" s="1600"/>
      <c r="AD102" s="1600"/>
      <c r="AE102" s="1600"/>
      <c r="AF102" s="1600"/>
      <c r="AG102" s="1600"/>
      <c r="AH102" s="1600"/>
      <c r="AI102" s="1600"/>
      <c r="AJ102" s="1600"/>
      <c r="AK102" s="1600"/>
      <c r="AL102" s="15739"/>
      <c r="AM102" s="15739"/>
      <c r="AN102" s="15739"/>
      <c r="AO102" s="15739"/>
      <c r="AP102" s="15739"/>
      <c r="AQ102" s="15739"/>
      <c r="AR102" s="15739"/>
    </row>
    <row customHeight="1" ht="17.25">
      <c r="A103" s="2181"/>
      <c r="B103" s="15739"/>
      <c r="C103" s="2186"/>
      <c r="D103" s="2171"/>
      <c r="E103" s="2188"/>
      <c r="F103" s="2125"/>
      <c r="G103" s="2189"/>
      <c r="H103" s="2171"/>
      <c r="I103" s="2171"/>
      <c r="J103" s="2192"/>
      <c r="K103" s="2189"/>
      <c r="L103" s="2844"/>
      <c r="M103" s="2844"/>
      <c r="N103" s="2846"/>
      <c r="O103" s="2453"/>
      <c r="P103" s="658"/>
      <c r="Q103" s="659"/>
      <c r="R103" s="659" t="s">
        <v>280</v>
      </c>
      <c r="S103" s="2187"/>
      <c r="T103" s="2187"/>
      <c r="U103" s="2187"/>
      <c r="V103" s="2187"/>
      <c r="W103" s="1774"/>
      <c r="X103" s="15739"/>
      <c r="Y103" s="1600"/>
      <c r="Z103" s="1600"/>
      <c r="AA103" s="1600"/>
      <c r="AB103" s="1600"/>
      <c r="AC103" s="1600"/>
      <c r="AD103" s="1600"/>
      <c r="AE103" s="1600"/>
      <c r="AF103" s="1600"/>
      <c r="AG103" s="1600"/>
      <c r="AH103" s="1600"/>
      <c r="AI103" s="1600"/>
      <c r="AJ103" s="1600"/>
      <c r="AK103" s="1600"/>
      <c r="AL103" s="15739"/>
      <c r="AM103" s="15739"/>
      <c r="AN103" s="15739"/>
      <c r="AO103" s="15739"/>
      <c r="AP103" s="15739"/>
      <c r="AQ103" s="15739"/>
      <c r="AR103" s="15739"/>
    </row>
    <row customHeight="1" ht="17.25">
      <c r="A104" s="2181"/>
      <c r="B104" s="15739"/>
      <c r="C104" s="2183"/>
      <c r="D104" s="2171"/>
      <c r="E104" s="2188"/>
      <c r="F104" s="2125"/>
      <c r="G104" s="2189"/>
      <c r="H104" s="2171"/>
      <c r="I104" s="2171"/>
      <c r="J104" s="2192"/>
      <c r="K104" s="2189"/>
      <c r="L104" s="2449" t="s">
        <v>104</v>
      </c>
      <c r="M104" s="2449" t="s">
        <v>92</v>
      </c>
      <c r="N104" s="2845" t="str">
        <f>IF(Z104="","",INDEX(TERRITORY_MR_LIST,MATCH(Z104,TERRITORY_LIST_ID,0)))</f>
        <v>Территория 6</v>
      </c>
      <c r="O104" s="2526" t="s">
        <v>66</v>
      </c>
      <c r="P104" s="2449"/>
      <c r="Q104" s="2449" t="s">
        <v>145</v>
      </c>
      <c r="R104" s="2843" t="s">
        <v>300</v>
      </c>
      <c r="S104" s="2747" t="s">
        <v>19</v>
      </c>
      <c r="T104" s="2143"/>
      <c r="U104" s="2143" t="s">
        <v>145</v>
      </c>
      <c r="V104" s="1775"/>
      <c r="W104" s="2842"/>
      <c r="X104" s="15739"/>
      <c r="Y104" s="1608"/>
      <c r="Z104" s="1608" t="s">
        <v>121</v>
      </c>
      <c r="AA104" s="1608"/>
      <c r="AB104" s="1608"/>
      <c r="AC104" s="15753" t="s">
        <v>264</v>
      </c>
      <c r="AD104" s="15753" t="s">
        <v>265</v>
      </c>
      <c r="AE104" s="1608" t="s">
        <v>301</v>
      </c>
      <c r="AF104" s="1608" t="s">
        <v>302</v>
      </c>
      <c r="AG104" s="1608" t="s">
        <v>303</v>
      </c>
      <c r="AH104" s="1608" t="str">
        <f>IF($E$79=0,"",$E$79)</f>
        <v>Тариф на питьевую воду (питьевое водоснабжение)</v>
      </c>
      <c r="AI104" s="1608" t="str">
        <f>IF($G$79=0,"",$G$79)</f>
        <v>Холодное водоснабжение. Питьевая вода</v>
      </c>
      <c r="AJ104" s="1608" t="str">
        <f>IF($J$79=0,"",$J$79)</f>
        <v>Тариф на услуги водоснабжения</v>
      </c>
      <c r="AK104" s="1608" t="str">
        <f>IF($K$104="нет","без дифференциации",IF($N$104=0,"",$N$104))</f>
        <v>Территория 6</v>
      </c>
      <c r="AL104" s="2185" t="str">
        <f>IF($O$104="нет","без дифференциации",IF($R$104=0,"",$R$104))</f>
        <v>Дальнегорский ГО</v>
      </c>
      <c r="AM104" s="2185"/>
      <c r="AN104" s="1608">
        <f>$I$79</f>
        <v>1</v>
      </c>
      <c r="AO104" s="1608" t="str">
        <f>$I$79&amp;"."&amp;$M$104</f>
        <v>1.6</v>
      </c>
      <c r="AP104" s="1608" t="str">
        <f>$I$79&amp;"."&amp;$M$104&amp;"."&amp;$Q$104</f>
        <v>1.6.1</v>
      </c>
      <c r="AQ104" s="1608"/>
      <c r="AR104" s="15739"/>
    </row>
    <row customHeight="1" ht="17.25">
      <c r="A105" s="2181"/>
      <c r="B105" s="15739"/>
      <c r="C105" s="2186"/>
      <c r="D105" s="2171"/>
      <c r="E105" s="2188"/>
      <c r="F105" s="2125"/>
      <c r="G105" s="2189"/>
      <c r="H105" s="2171"/>
      <c r="I105" s="2171"/>
      <c r="J105" s="2192"/>
      <c r="K105" s="2189"/>
      <c r="L105" s="2449"/>
      <c r="M105" s="2449"/>
      <c r="N105" s="2845"/>
      <c r="O105" s="2527"/>
      <c r="P105" s="2449"/>
      <c r="Q105" s="2449"/>
      <c r="R105" s="2843"/>
      <c r="S105" s="2747"/>
      <c r="T105" s="1776"/>
      <c r="U105" s="1777"/>
      <c r="V105" s="1777"/>
      <c r="W105" s="2842"/>
      <c r="X105" s="15739"/>
      <c r="Y105" s="1600"/>
      <c r="Z105" s="1600"/>
      <c r="AA105" s="1600"/>
      <c r="AB105" s="1600"/>
      <c r="AC105" s="1600"/>
      <c r="AD105" s="1600"/>
      <c r="AE105" s="1600"/>
      <c r="AF105" s="1600"/>
      <c r="AG105" s="1600"/>
      <c r="AH105" s="1600"/>
      <c r="AI105" s="1600"/>
      <c r="AJ105" s="1600"/>
      <c r="AK105" s="1600"/>
      <c r="AL105" s="15739"/>
      <c r="AM105" s="15739"/>
      <c r="AN105" s="15739"/>
      <c r="AO105" s="15739"/>
      <c r="AP105" s="15739"/>
      <c r="AQ105" s="15739"/>
      <c r="AR105" s="15739"/>
    </row>
    <row customHeight="1" ht="17.25">
      <c r="A106" s="2181"/>
      <c r="B106" s="15739"/>
      <c r="C106" s="2186"/>
      <c r="D106" s="2171"/>
      <c r="E106" s="2188"/>
      <c r="F106" s="2125"/>
      <c r="G106" s="2189"/>
      <c r="H106" s="2171"/>
      <c r="I106" s="2171"/>
      <c r="J106" s="2192"/>
      <c r="K106" s="2189"/>
      <c r="L106" s="2844"/>
      <c r="M106" s="2844"/>
      <c r="N106" s="2846"/>
      <c r="O106" s="2453"/>
      <c r="P106" s="658"/>
      <c r="Q106" s="659"/>
      <c r="R106" s="659" t="s">
        <v>280</v>
      </c>
      <c r="S106" s="2187"/>
      <c r="T106" s="2187"/>
      <c r="U106" s="2187"/>
      <c r="V106" s="2187"/>
      <c r="W106" s="1774"/>
      <c r="X106" s="15739"/>
      <c r="Y106" s="1600"/>
      <c r="Z106" s="1600"/>
      <c r="AA106" s="1600"/>
      <c r="AB106" s="1600"/>
      <c r="AC106" s="1600"/>
      <c r="AD106" s="1600"/>
      <c r="AE106" s="1600"/>
      <c r="AF106" s="1600"/>
      <c r="AG106" s="1600"/>
      <c r="AH106" s="1600"/>
      <c r="AI106" s="1600"/>
      <c r="AJ106" s="1600"/>
      <c r="AK106" s="1600"/>
      <c r="AL106" s="15739"/>
      <c r="AM106" s="15739"/>
      <c r="AN106" s="15739"/>
      <c r="AO106" s="15739"/>
      <c r="AP106" s="15739"/>
      <c r="AQ106" s="15739"/>
      <c r="AR106" s="15739"/>
    </row>
    <row customHeight="1" ht="17.25">
      <c r="A107" s="2181"/>
      <c r="B107" s="15739"/>
      <c r="C107" s="2183"/>
      <c r="D107" s="2171"/>
      <c r="E107" s="2188"/>
      <c r="F107" s="2125"/>
      <c r="G107" s="2189"/>
      <c r="H107" s="2171"/>
      <c r="I107" s="2171"/>
      <c r="J107" s="2192"/>
      <c r="K107" s="2189"/>
      <c r="L107" s="2449" t="s">
        <v>104</v>
      </c>
      <c r="M107" s="2449" t="s">
        <v>93</v>
      </c>
      <c r="N107" s="2845" t="str">
        <f>IF(Z107="","",INDEX(TERRITORY_MR_LIST,MATCH(Z107,TERRITORY_LIST_ID,0)))</f>
        <v>Территория 7</v>
      </c>
      <c r="O107" s="2526" t="s">
        <v>66</v>
      </c>
      <c r="P107" s="2449"/>
      <c r="Q107" s="2449" t="s">
        <v>145</v>
      </c>
      <c r="R107" s="2843" t="s">
        <v>304</v>
      </c>
      <c r="S107" s="2747" t="s">
        <v>19</v>
      </c>
      <c r="T107" s="2143"/>
      <c r="U107" s="2143" t="s">
        <v>145</v>
      </c>
      <c r="V107" s="1775"/>
      <c r="W107" s="2842"/>
      <c r="X107" s="15739"/>
      <c r="Y107" s="1608"/>
      <c r="Z107" s="1608" t="s">
        <v>124</v>
      </c>
      <c r="AA107" s="1608"/>
      <c r="AB107" s="1608"/>
      <c r="AC107" s="15753" t="s">
        <v>264</v>
      </c>
      <c r="AD107" s="15753" t="s">
        <v>265</v>
      </c>
      <c r="AE107" s="1608" t="s">
        <v>305</v>
      </c>
      <c r="AF107" s="1608" t="s">
        <v>306</v>
      </c>
      <c r="AG107" s="1608" t="s">
        <v>307</v>
      </c>
      <c r="AH107" s="1608" t="str">
        <f>IF($E$79=0,"",$E$79)</f>
        <v>Тариф на питьевую воду (питьевое водоснабжение)</v>
      </c>
      <c r="AI107" s="1608" t="str">
        <f>IF($G$79=0,"",$G$79)</f>
        <v>Холодное водоснабжение. Питьевая вода</v>
      </c>
      <c r="AJ107" s="1608" t="str">
        <f>IF($J$79=0,"",$J$79)</f>
        <v>Тариф на услуги водоснабжения</v>
      </c>
      <c r="AK107" s="1608" t="str">
        <f>IF($K$107="нет","без дифференциации",IF($N$107=0,"",$N$107))</f>
        <v>Территория 7</v>
      </c>
      <c r="AL107" s="2185" t="str">
        <f>IF($O$107="нет","без дифференциации",IF($R$107=0,"",$R$107))</f>
        <v>Новошахтинское ГП</v>
      </c>
      <c r="AM107" s="2185"/>
      <c r="AN107" s="1608">
        <f>$I$79</f>
        <v>1</v>
      </c>
      <c r="AO107" s="1608" t="str">
        <f>$I$79&amp;"."&amp;$M$107</f>
        <v>1.7</v>
      </c>
      <c r="AP107" s="1608" t="str">
        <f>$I$79&amp;"."&amp;$M$107&amp;"."&amp;$Q$107</f>
        <v>1.7.1</v>
      </c>
      <c r="AQ107" s="1608"/>
      <c r="AR107" s="15739"/>
    </row>
    <row customHeight="1" ht="17.25">
      <c r="A108" s="2181"/>
      <c r="B108" s="15739"/>
      <c r="C108" s="2186"/>
      <c r="D108" s="2171"/>
      <c r="E108" s="2188"/>
      <c r="F108" s="2125"/>
      <c r="G108" s="2189"/>
      <c r="H108" s="2171"/>
      <c r="I108" s="2171"/>
      <c r="J108" s="2192"/>
      <c r="K108" s="2189"/>
      <c r="L108" s="2449"/>
      <c r="M108" s="2449"/>
      <c r="N108" s="2845"/>
      <c r="O108" s="2527"/>
      <c r="P108" s="2449"/>
      <c r="Q108" s="2449"/>
      <c r="R108" s="2843"/>
      <c r="S108" s="2747"/>
      <c r="T108" s="1776"/>
      <c r="U108" s="1777"/>
      <c r="V108" s="1777"/>
      <c r="W108" s="2842"/>
      <c r="X108" s="15739"/>
      <c r="Y108" s="1600"/>
      <c r="Z108" s="1600"/>
      <c r="AA108" s="1600"/>
      <c r="AB108" s="1600"/>
      <c r="AC108" s="1600"/>
      <c r="AD108" s="1600"/>
      <c r="AE108" s="1600"/>
      <c r="AF108" s="1600"/>
      <c r="AG108" s="1600"/>
      <c r="AH108" s="1600"/>
      <c r="AI108" s="1600"/>
      <c r="AJ108" s="1600"/>
      <c r="AK108" s="1600"/>
      <c r="AL108" s="15739"/>
      <c r="AM108" s="15739"/>
      <c r="AN108" s="15739"/>
      <c r="AO108" s="15739"/>
      <c r="AP108" s="15739"/>
      <c r="AQ108" s="15739"/>
      <c r="AR108" s="15739"/>
    </row>
    <row customHeight="1" ht="17.25">
      <c r="A109" s="2181"/>
      <c r="B109" s="15739"/>
      <c r="C109" s="2186"/>
      <c r="D109" s="2171"/>
      <c r="E109" s="2188"/>
      <c r="F109" s="2125"/>
      <c r="G109" s="2189"/>
      <c r="H109" s="2171"/>
      <c r="I109" s="2171"/>
      <c r="J109" s="2192"/>
      <c r="K109" s="2189"/>
      <c r="L109" s="2844"/>
      <c r="M109" s="2844"/>
      <c r="N109" s="2846"/>
      <c r="O109" s="2453"/>
      <c r="P109" s="658"/>
      <c r="Q109" s="659"/>
      <c r="R109" s="659" t="s">
        <v>280</v>
      </c>
      <c r="S109" s="2187"/>
      <c r="T109" s="2187"/>
      <c r="U109" s="2187"/>
      <c r="V109" s="2187"/>
      <c r="W109" s="1774"/>
      <c r="X109" s="15739"/>
      <c r="Y109" s="1600"/>
      <c r="Z109" s="1600"/>
      <c r="AA109" s="1600"/>
      <c r="AB109" s="1600"/>
      <c r="AC109" s="1600"/>
      <c r="AD109" s="1600"/>
      <c r="AE109" s="1600"/>
      <c r="AF109" s="1600"/>
      <c r="AG109" s="1600"/>
      <c r="AH109" s="1600"/>
      <c r="AI109" s="1600"/>
      <c r="AJ109" s="1600"/>
      <c r="AK109" s="1600"/>
      <c r="AL109" s="15739"/>
      <c r="AM109" s="15739"/>
      <c r="AN109" s="15739"/>
      <c r="AO109" s="15739"/>
      <c r="AP109" s="15739"/>
      <c r="AQ109" s="15739"/>
      <c r="AR109" s="15739"/>
    </row>
    <row customHeight="1" ht="17.25">
      <c r="A110" s="2181"/>
      <c r="B110" s="15739"/>
      <c r="C110" s="2183"/>
      <c r="D110" s="2171"/>
      <c r="E110" s="2188"/>
      <c r="F110" s="2125"/>
      <c r="G110" s="2189"/>
      <c r="H110" s="2171"/>
      <c r="I110" s="2171"/>
      <c r="J110" s="2192"/>
      <c r="K110" s="2189"/>
      <c r="L110" s="2449" t="s">
        <v>104</v>
      </c>
      <c r="M110" s="2449" t="s">
        <v>129</v>
      </c>
      <c r="N110" s="2845" t="str">
        <f>IF(Z110="","",INDEX(TERRITORY_MR_LIST,MATCH(Z110,TERRITORY_LIST_ID,0)))</f>
        <v>Территория 8</v>
      </c>
      <c r="O110" s="2526" t="s">
        <v>66</v>
      </c>
      <c r="P110" s="2449"/>
      <c r="Q110" s="2449" t="s">
        <v>145</v>
      </c>
      <c r="R110" s="2843" t="s">
        <v>308</v>
      </c>
      <c r="S110" s="2747" t="s">
        <v>19</v>
      </c>
      <c r="T110" s="2143"/>
      <c r="U110" s="2143" t="s">
        <v>145</v>
      </c>
      <c r="V110" s="1775"/>
      <c r="W110" s="2842"/>
      <c r="X110" s="15739"/>
      <c r="Y110" s="1608"/>
      <c r="Z110" s="1608" t="s">
        <v>130</v>
      </c>
      <c r="AA110" s="1608"/>
      <c r="AB110" s="1608"/>
      <c r="AC110" s="15753" t="s">
        <v>264</v>
      </c>
      <c r="AD110" s="15753" t="s">
        <v>265</v>
      </c>
      <c r="AE110" s="1608" t="s">
        <v>309</v>
      </c>
      <c r="AF110" s="1608" t="s">
        <v>310</v>
      </c>
      <c r="AG110" s="1608" t="s">
        <v>311</v>
      </c>
      <c r="AH110" s="1608" t="str">
        <f>IF($E$79=0,"",$E$79)</f>
        <v>Тариф на питьевую воду (питьевое водоснабжение)</v>
      </c>
      <c r="AI110" s="1608" t="str">
        <f>IF($G$79=0,"",$G$79)</f>
        <v>Холодное водоснабжение. Питьевая вода</v>
      </c>
      <c r="AJ110" s="1608" t="str">
        <f>IF($J$79=0,"",$J$79)</f>
        <v>Тариф на услуги водоснабжения</v>
      </c>
      <c r="AK110" s="1608" t="str">
        <f>IF($K$110="нет","без дифференциации",IF($N$110=0,"",$N$110))</f>
        <v>Территория 8</v>
      </c>
      <c r="AL110" s="2185" t="str">
        <f>IF($O$110="нет","без дифференциации",IF($R$110=0,"",$R$110))</f>
        <v>пгт. Путятин</v>
      </c>
      <c r="AM110" s="2185"/>
      <c r="AN110" s="1608">
        <f>$I$79</f>
        <v>1</v>
      </c>
      <c r="AO110" s="1608" t="str">
        <f>$I$79&amp;"."&amp;$M$110</f>
        <v>1.8</v>
      </c>
      <c r="AP110" s="1608" t="str">
        <f>$I$79&amp;"."&amp;$M$110&amp;"."&amp;$Q$110</f>
        <v>1.8.1</v>
      </c>
      <c r="AQ110" s="1608"/>
      <c r="AR110" s="15739"/>
    </row>
    <row customHeight="1" ht="17.25">
      <c r="A111" s="2181"/>
      <c r="B111" s="15739"/>
      <c r="C111" s="2186"/>
      <c r="D111" s="2171"/>
      <c r="E111" s="2188"/>
      <c r="F111" s="2125"/>
      <c r="G111" s="2189"/>
      <c r="H111" s="2171"/>
      <c r="I111" s="2171"/>
      <c r="J111" s="2192"/>
      <c r="K111" s="2189"/>
      <c r="L111" s="2449"/>
      <c r="M111" s="2449"/>
      <c r="N111" s="2845"/>
      <c r="O111" s="2527"/>
      <c r="P111" s="2449"/>
      <c r="Q111" s="2449"/>
      <c r="R111" s="2843"/>
      <c r="S111" s="2747"/>
      <c r="T111" s="1776"/>
      <c r="U111" s="1777"/>
      <c r="V111" s="1777"/>
      <c r="W111" s="2842"/>
      <c r="X111" s="15739"/>
      <c r="Y111" s="1600"/>
      <c r="Z111" s="1600"/>
      <c r="AA111" s="1600"/>
      <c r="AB111" s="1600"/>
      <c r="AC111" s="1600"/>
      <c r="AD111" s="1600"/>
      <c r="AE111" s="1600"/>
      <c r="AF111" s="1600"/>
      <c r="AG111" s="1600"/>
      <c r="AH111" s="1600"/>
      <c r="AI111" s="1600"/>
      <c r="AJ111" s="1600"/>
      <c r="AK111" s="1600"/>
      <c r="AL111" s="15739"/>
      <c r="AM111" s="15739"/>
      <c r="AN111" s="15739"/>
      <c r="AO111" s="15739"/>
      <c r="AP111" s="15739"/>
      <c r="AQ111" s="15739"/>
      <c r="AR111" s="15739"/>
    </row>
    <row customHeight="1" ht="17.25">
      <c r="A112" s="2181"/>
      <c r="B112" s="15739"/>
      <c r="C112" s="2183"/>
      <c r="D112" s="2171"/>
      <c r="E112" s="2188"/>
      <c r="F112" s="2125"/>
      <c r="G112" s="2189"/>
      <c r="H112" s="2171"/>
      <c r="I112" s="2171"/>
      <c r="J112" s="2192"/>
      <c r="K112" s="2189"/>
      <c r="L112" s="2171"/>
      <c r="M112" s="2171"/>
      <c r="N112" s="2389"/>
      <c r="O112" s="2128"/>
      <c r="P112" s="2449" t="s">
        <v>104</v>
      </c>
      <c r="Q112" s="2449" t="s">
        <v>103</v>
      </c>
      <c r="R112" s="2843" t="s">
        <v>312</v>
      </c>
      <c r="S112" s="2747" t="s">
        <v>19</v>
      </c>
      <c r="T112" s="2143"/>
      <c r="U112" s="2143" t="s">
        <v>145</v>
      </c>
      <c r="V112" s="1775"/>
      <c r="W112" s="2842"/>
      <c r="X112" s="15739"/>
      <c r="Y112" s="1608"/>
      <c r="Z112" s="1608"/>
      <c r="AA112" s="1608"/>
      <c r="AB112" s="1608"/>
      <c r="AC112" s="15753" t="s">
        <v>264</v>
      </c>
      <c r="AD112" s="15753" t="s">
        <v>265</v>
      </c>
      <c r="AE112" s="15753" t="s">
        <v>309</v>
      </c>
      <c r="AF112" s="1608" t="s">
        <v>313</v>
      </c>
      <c r="AG112" s="1608" t="s">
        <v>314</v>
      </c>
      <c r="AH112" s="1608" t="str">
        <f>IF($E$79=0,"",$E$79)</f>
        <v>Тариф на питьевую воду (питьевое водоснабжение)</v>
      </c>
      <c r="AI112" s="1608" t="str">
        <f>IF($G$79=0,"",$G$79)</f>
        <v>Холодное водоснабжение. Питьевая вода</v>
      </c>
      <c r="AJ112" s="1608" t="str">
        <f>IF($J$79=0,"",$J$79)</f>
        <v>Тариф на услуги водоснабжения</v>
      </c>
      <c r="AK112" s="1608" t="str">
        <f>IF($K$110="нет","без дифференциации",IF($N$110=0,"",$N$110))</f>
        <v>Территория 8</v>
      </c>
      <c r="AL112" s="2185" t="str">
        <f>IF($O$112="нет","без дифференциации",IF($R$112=0,"",$R$112))</f>
        <v>ГО ЗАТО Фокино</v>
      </c>
      <c r="AM112" s="2185"/>
      <c r="AN112" s="1608">
        <f>$I$79</f>
        <v>1</v>
      </c>
      <c r="AO112" s="1608" t="str">
        <f>$I$79&amp;"."&amp;$M$110</f>
        <v>1.8</v>
      </c>
      <c r="AP112" s="1608" t="str">
        <f>$I$79&amp;"."&amp;$M$110&amp;"."&amp;$Q$112</f>
        <v>1.8.2</v>
      </c>
      <c r="AQ112" s="1608"/>
      <c r="AR112" s="15739"/>
    </row>
    <row customHeight="1" ht="17.25">
      <c r="A113" s="2181"/>
      <c r="B113" s="15739"/>
      <c r="C113" s="2186"/>
      <c r="D113" s="2171"/>
      <c r="E113" s="2188"/>
      <c r="F113" s="2125"/>
      <c r="G113" s="2189"/>
      <c r="H113" s="2171"/>
      <c r="I113" s="2171"/>
      <c r="J113" s="2192"/>
      <c r="K113" s="2189"/>
      <c r="L113" s="2171"/>
      <c r="M113" s="2171"/>
      <c r="N113" s="2389"/>
      <c r="O113" s="2128"/>
      <c r="P113" s="2449"/>
      <c r="Q113" s="2449"/>
      <c r="R113" s="2843"/>
      <c r="S113" s="2747"/>
      <c r="T113" s="1776"/>
      <c r="U113" s="1777"/>
      <c r="V113" s="1777"/>
      <c r="W113" s="2842"/>
      <c r="X113" s="15739"/>
      <c r="Y113" s="1600"/>
      <c r="Z113" s="1600"/>
      <c r="AA113" s="1600"/>
      <c r="AB113" s="1600"/>
      <c r="AC113" s="1600"/>
      <c r="AD113" s="1600"/>
      <c r="AE113" s="1600"/>
      <c r="AF113" s="1600"/>
      <c r="AG113" s="1600"/>
      <c r="AH113" s="1600"/>
      <c r="AI113" s="1600"/>
      <c r="AJ113" s="1600"/>
      <c r="AK113" s="1600"/>
      <c r="AL113" s="15739"/>
      <c r="AM113" s="15739"/>
      <c r="AN113" s="15739"/>
      <c r="AO113" s="15739"/>
      <c r="AP113" s="15739"/>
      <c r="AQ113" s="15739"/>
      <c r="AR113" s="15739"/>
    </row>
    <row customHeight="1" ht="17.25">
      <c r="A114" s="2181"/>
      <c r="B114" s="15739"/>
      <c r="C114" s="2186"/>
      <c r="D114" s="2171"/>
      <c r="E114" s="2188"/>
      <c r="F114" s="2125"/>
      <c r="G114" s="2189"/>
      <c r="H114" s="2171"/>
      <c r="I114" s="2171"/>
      <c r="J114" s="2192"/>
      <c r="K114" s="2189"/>
      <c r="L114" s="2844"/>
      <c r="M114" s="2844"/>
      <c r="N114" s="2846"/>
      <c r="O114" s="2453"/>
      <c r="P114" s="658"/>
      <c r="Q114" s="659"/>
      <c r="R114" s="659" t="s">
        <v>280</v>
      </c>
      <c r="S114" s="2187"/>
      <c r="T114" s="2187"/>
      <c r="U114" s="2187"/>
      <c r="V114" s="2187"/>
      <c r="W114" s="1774"/>
      <c r="X114" s="15739"/>
      <c r="Y114" s="1600"/>
      <c r="Z114" s="1600"/>
      <c r="AA114" s="1600"/>
      <c r="AB114" s="1600"/>
      <c r="AC114" s="1600"/>
      <c r="AD114" s="1600"/>
      <c r="AE114" s="1600"/>
      <c r="AF114" s="1600"/>
      <c r="AG114" s="1600"/>
      <c r="AH114" s="1600"/>
      <c r="AI114" s="1600"/>
      <c r="AJ114" s="1600"/>
      <c r="AK114" s="1600"/>
      <c r="AL114" s="15739"/>
      <c r="AM114" s="15739"/>
      <c r="AN114" s="15739"/>
      <c r="AO114" s="15739"/>
      <c r="AP114" s="15739"/>
      <c r="AQ114" s="15739"/>
      <c r="AR114" s="15739"/>
    </row>
    <row customHeight="1" ht="17.25">
      <c r="A115" s="2181"/>
      <c r="B115" s="15739"/>
      <c r="C115" s="2183"/>
      <c r="D115" s="2171"/>
      <c r="E115" s="2188"/>
      <c r="F115" s="2125"/>
      <c r="G115" s="2189"/>
      <c r="H115" s="2171"/>
      <c r="I115" s="2171"/>
      <c r="J115" s="2192"/>
      <c r="K115" s="2189"/>
      <c r="L115" s="2449" t="s">
        <v>104</v>
      </c>
      <c r="M115" s="2449" t="s">
        <v>134</v>
      </c>
      <c r="N115" s="2845" t="str">
        <f>IF(Z115="","",INDEX(TERRITORY_MR_LIST,MATCH(Z115,TERRITORY_LIST_ID,0)))</f>
        <v>Территория 9</v>
      </c>
      <c r="O115" s="2526" t="s">
        <v>66</v>
      </c>
      <c r="P115" s="2449"/>
      <c r="Q115" s="2449" t="s">
        <v>145</v>
      </c>
      <c r="R115" s="2843" t="s">
        <v>315</v>
      </c>
      <c r="S115" s="2747" t="s">
        <v>19</v>
      </c>
      <c r="T115" s="2143"/>
      <c r="U115" s="2143" t="s">
        <v>145</v>
      </c>
      <c r="V115" s="1775"/>
      <c r="W115" s="2842"/>
      <c r="X115" s="15739"/>
      <c r="Y115" s="1608"/>
      <c r="Z115" s="1608" t="s">
        <v>135</v>
      </c>
      <c r="AA115" s="1608"/>
      <c r="AB115" s="1608"/>
      <c r="AC115" s="15753" t="s">
        <v>264</v>
      </c>
      <c r="AD115" s="15753" t="s">
        <v>265</v>
      </c>
      <c r="AE115" s="1608" t="s">
        <v>316</v>
      </c>
      <c r="AF115" s="1608" t="s">
        <v>317</v>
      </c>
      <c r="AG115" s="1608" t="s">
        <v>318</v>
      </c>
      <c r="AH115" s="1608" t="str">
        <f>IF($E$79=0,"",$E$79)</f>
        <v>Тариф на питьевую воду (питьевое водоснабжение)</v>
      </c>
      <c r="AI115" s="1608" t="str">
        <f>IF($G$79=0,"",$G$79)</f>
        <v>Холодное водоснабжение. Питьевая вода</v>
      </c>
      <c r="AJ115" s="1608" t="str">
        <f>IF($J$79=0,"",$J$79)</f>
        <v>Тариф на услуги водоснабжения</v>
      </c>
      <c r="AK115" s="1608" t="str">
        <f>IF($K$115="нет","без дифференциации",IF($N$115=0,"",$N$115))</f>
        <v>Территория 9</v>
      </c>
      <c r="AL115" s="2185" t="str">
        <f>IF($O$115="нет","без дифференциации",IF($R$115=0,"",$R$115))</f>
        <v>ГО Спасск-Дальний МКР №1-3,3-а</v>
      </c>
      <c r="AM115" s="2185"/>
      <c r="AN115" s="1608">
        <f>$I$79</f>
        <v>1</v>
      </c>
      <c r="AO115" s="1608" t="str">
        <f>$I$79&amp;"."&amp;$M$115</f>
        <v>1.9</v>
      </c>
      <c r="AP115" s="1608" t="str">
        <f>$I$79&amp;"."&amp;$M$115&amp;"."&amp;$Q$115</f>
        <v>1.9.1</v>
      </c>
      <c r="AQ115" s="1608"/>
      <c r="AR115" s="15739"/>
    </row>
    <row customHeight="1" ht="17.25">
      <c r="A116" s="2181"/>
      <c r="B116" s="15739"/>
      <c r="C116" s="2186"/>
      <c r="D116" s="2171"/>
      <c r="E116" s="2188"/>
      <c r="F116" s="2125"/>
      <c r="G116" s="2189"/>
      <c r="H116" s="2171"/>
      <c r="I116" s="2171"/>
      <c r="J116" s="2192"/>
      <c r="K116" s="2189"/>
      <c r="L116" s="2449"/>
      <c r="M116" s="2449"/>
      <c r="N116" s="2845"/>
      <c r="O116" s="2527"/>
      <c r="P116" s="2449"/>
      <c r="Q116" s="2449"/>
      <c r="R116" s="2843"/>
      <c r="S116" s="2747"/>
      <c r="T116" s="1776"/>
      <c r="U116" s="1777"/>
      <c r="V116" s="1777"/>
      <c r="W116" s="2842"/>
      <c r="X116" s="15739"/>
      <c r="Y116" s="1600"/>
      <c r="Z116" s="1600"/>
      <c r="AA116" s="1600"/>
      <c r="AB116" s="1600"/>
      <c r="AC116" s="1600"/>
      <c r="AD116" s="1600"/>
      <c r="AE116" s="1600"/>
      <c r="AF116" s="1600"/>
      <c r="AG116" s="1600"/>
      <c r="AH116" s="1600"/>
      <c r="AI116" s="1600"/>
      <c r="AJ116" s="1600"/>
      <c r="AK116" s="1600"/>
      <c r="AL116" s="15739"/>
      <c r="AM116" s="15739"/>
      <c r="AN116" s="15739"/>
      <c r="AO116" s="15739"/>
      <c r="AP116" s="15739"/>
      <c r="AQ116" s="15739"/>
      <c r="AR116" s="15739"/>
    </row>
    <row customHeight="1" ht="17.25">
      <c r="A117" s="2181"/>
      <c r="B117" s="15739"/>
      <c r="C117" s="2183"/>
      <c r="D117" s="2171"/>
      <c r="E117" s="2188"/>
      <c r="F117" s="2125"/>
      <c r="G117" s="2189"/>
      <c r="H117" s="2171"/>
      <c r="I117" s="2171"/>
      <c r="J117" s="2192"/>
      <c r="K117" s="2189"/>
      <c r="L117" s="2171"/>
      <c r="M117" s="2171"/>
      <c r="N117" s="2389"/>
      <c r="O117" s="2128"/>
      <c r="P117" s="2449" t="s">
        <v>104</v>
      </c>
      <c r="Q117" s="2449" t="s">
        <v>103</v>
      </c>
      <c r="R117" s="2843" t="s">
        <v>319</v>
      </c>
      <c r="S117" s="2747" t="s">
        <v>19</v>
      </c>
      <c r="T117" s="2143"/>
      <c r="U117" s="2143" t="s">
        <v>145</v>
      </c>
      <c r="V117" s="1775"/>
      <c r="W117" s="2842"/>
      <c r="X117" s="15739"/>
      <c r="Y117" s="1608"/>
      <c r="Z117" s="1608"/>
      <c r="AA117" s="1608"/>
      <c r="AB117" s="1608"/>
      <c r="AC117" s="15753" t="s">
        <v>264</v>
      </c>
      <c r="AD117" s="15753" t="s">
        <v>265</v>
      </c>
      <c r="AE117" s="15753" t="s">
        <v>316</v>
      </c>
      <c r="AF117" s="1608" t="s">
        <v>320</v>
      </c>
      <c r="AG117" s="1608" t="s">
        <v>321</v>
      </c>
      <c r="AH117" s="1608" t="str">
        <f>IF($E$79=0,"",$E$79)</f>
        <v>Тариф на питьевую воду (питьевое водоснабжение)</v>
      </c>
      <c r="AI117" s="1608" t="str">
        <f>IF($G$79=0,"",$G$79)</f>
        <v>Холодное водоснабжение. Питьевая вода</v>
      </c>
      <c r="AJ117" s="1608" t="str">
        <f>IF($J$79=0,"",$J$79)</f>
        <v>Тариф на услуги водоснабжения</v>
      </c>
      <c r="AK117" s="1608" t="str">
        <f>IF($K$115="нет","без дифференциации",IF($N$115=0,"",$N$115))</f>
        <v>Территория 9</v>
      </c>
      <c r="AL117" s="2185" t="str">
        <f>IF($O$117="нет","без дифференциации",IF($R$117=0,"",$R$117))</f>
        <v>ГО Спасск-Дальний МКР им. С.Лазо</v>
      </c>
      <c r="AM117" s="2185"/>
      <c r="AN117" s="1608">
        <f>$I$79</f>
        <v>1</v>
      </c>
      <c r="AO117" s="1608" t="str">
        <f>$I$79&amp;"."&amp;$M$115</f>
        <v>1.9</v>
      </c>
      <c r="AP117" s="1608" t="str">
        <f>$I$79&amp;"."&amp;$M$115&amp;"."&amp;$Q$117</f>
        <v>1.9.2</v>
      </c>
      <c r="AQ117" s="1608"/>
      <c r="AR117" s="15739"/>
    </row>
    <row customHeight="1" ht="17.25">
      <c r="A118" s="2181"/>
      <c r="B118" s="15739"/>
      <c r="C118" s="2186"/>
      <c r="D118" s="2171"/>
      <c r="E118" s="2188"/>
      <c r="F118" s="2125"/>
      <c r="G118" s="2189"/>
      <c r="H118" s="2171"/>
      <c r="I118" s="2171"/>
      <c r="J118" s="2192"/>
      <c r="K118" s="2189"/>
      <c r="L118" s="2171"/>
      <c r="M118" s="2171"/>
      <c r="N118" s="2389"/>
      <c r="O118" s="2128"/>
      <c r="P118" s="2449"/>
      <c r="Q118" s="2449"/>
      <c r="R118" s="2843"/>
      <c r="S118" s="2747"/>
      <c r="T118" s="1776"/>
      <c r="U118" s="1777"/>
      <c r="V118" s="1777"/>
      <c r="W118" s="2842"/>
      <c r="X118" s="15739"/>
      <c r="Y118" s="1600"/>
      <c r="Z118" s="1600"/>
      <c r="AA118" s="1600"/>
      <c r="AB118" s="1600"/>
      <c r="AC118" s="1600"/>
      <c r="AD118" s="1600"/>
      <c r="AE118" s="1600"/>
      <c r="AF118" s="1600"/>
      <c r="AG118" s="1600"/>
      <c r="AH118" s="1600"/>
      <c r="AI118" s="1600"/>
      <c r="AJ118" s="1600"/>
      <c r="AK118" s="1600"/>
      <c r="AL118" s="15739"/>
      <c r="AM118" s="15739"/>
      <c r="AN118" s="15739"/>
      <c r="AO118" s="15739"/>
      <c r="AP118" s="15739"/>
      <c r="AQ118" s="15739"/>
      <c r="AR118" s="15739"/>
    </row>
    <row customHeight="1" ht="17.25">
      <c r="A119" s="2181"/>
      <c r="B119" s="15739"/>
      <c r="C119" s="2186"/>
      <c r="D119" s="2171"/>
      <c r="E119" s="2188"/>
      <c r="F119" s="2125"/>
      <c r="G119" s="2189"/>
      <c r="H119" s="2171"/>
      <c r="I119" s="2171"/>
      <c r="J119" s="2192"/>
      <c r="K119" s="2189"/>
      <c r="L119" s="2844"/>
      <c r="M119" s="2844"/>
      <c r="N119" s="2846"/>
      <c r="O119" s="2453"/>
      <c r="P119" s="658"/>
      <c r="Q119" s="659"/>
      <c r="R119" s="659" t="s">
        <v>280</v>
      </c>
      <c r="S119" s="2187"/>
      <c r="T119" s="2187"/>
      <c r="U119" s="2187"/>
      <c r="V119" s="2187"/>
      <c r="W119" s="1774"/>
      <c r="X119" s="15739"/>
      <c r="Y119" s="1600"/>
      <c r="Z119" s="1600"/>
      <c r="AA119" s="1600"/>
      <c r="AB119" s="1600"/>
      <c r="AC119" s="1600"/>
      <c r="AD119" s="1600"/>
      <c r="AE119" s="1600"/>
      <c r="AF119" s="1600"/>
      <c r="AG119" s="1600"/>
      <c r="AH119" s="1600"/>
      <c r="AI119" s="1600"/>
      <c r="AJ119" s="1600"/>
      <c r="AK119" s="1600"/>
      <c r="AL119" s="15739"/>
      <c r="AM119" s="15739"/>
      <c r="AN119" s="15739"/>
      <c r="AO119" s="15739"/>
      <c r="AP119" s="15739"/>
      <c r="AQ119" s="15739"/>
      <c r="AR119" s="15739"/>
    </row>
    <row customHeight="1" ht="17.25">
      <c r="A120" s="2181"/>
      <c r="B120" s="15739"/>
      <c r="C120" s="2183"/>
      <c r="D120" s="2171"/>
      <c r="E120" s="2188"/>
      <c r="F120" s="2125"/>
      <c r="G120" s="2189"/>
      <c r="H120" s="2171"/>
      <c r="I120" s="2171"/>
      <c r="J120" s="2192"/>
      <c r="K120" s="2189"/>
      <c r="L120" s="2449" t="s">
        <v>104</v>
      </c>
      <c r="M120" s="2449" t="s">
        <v>138</v>
      </c>
      <c r="N120" s="2845" t="str">
        <f>IF(Z120="","",INDEX(TERRITORY_MR_LIST,MATCH(Z120,TERRITORY_LIST_ID,0)))</f>
        <v>Территория 10</v>
      </c>
      <c r="O120" s="2526" t="s">
        <v>66</v>
      </c>
      <c r="P120" s="2449"/>
      <c r="Q120" s="2449" t="s">
        <v>145</v>
      </c>
      <c r="R120" s="2843" t="s">
        <v>322</v>
      </c>
      <c r="S120" s="2747" t="s">
        <v>19</v>
      </c>
      <c r="T120" s="2143"/>
      <c r="U120" s="2143" t="s">
        <v>145</v>
      </c>
      <c r="V120" s="1775"/>
      <c r="W120" s="2842"/>
      <c r="X120" s="15739"/>
      <c r="Y120" s="1608"/>
      <c r="Z120" s="1608" t="s">
        <v>139</v>
      </c>
      <c r="AA120" s="1608"/>
      <c r="AB120" s="1608"/>
      <c r="AC120" s="15753" t="s">
        <v>264</v>
      </c>
      <c r="AD120" s="15753" t="s">
        <v>265</v>
      </c>
      <c r="AE120" s="1608" t="s">
        <v>323</v>
      </c>
      <c r="AF120" s="1608" t="s">
        <v>324</v>
      </c>
      <c r="AG120" s="1608" t="s">
        <v>325</v>
      </c>
      <c r="AH120" s="1608" t="str">
        <f>IF($E$79=0,"",$E$79)</f>
        <v>Тариф на питьевую воду (питьевое водоснабжение)</v>
      </c>
      <c r="AI120" s="1608" t="str">
        <f>IF($G$79=0,"",$G$79)</f>
        <v>Холодное водоснабжение. Питьевая вода</v>
      </c>
      <c r="AJ120" s="1608" t="str">
        <f>IF($J$79=0,"",$J$79)</f>
        <v>Тариф на услуги водоснабжения</v>
      </c>
      <c r="AK120" s="1608" t="str">
        <f>IF($K$120="нет","без дифференциации",IF($N$120=0,"",$N$120))</f>
        <v>Территория 10</v>
      </c>
      <c r="AL120" s="2185" t="str">
        <f>IF($O$120="нет","без дифференциации",IF($R$120=0,"",$R$120))</f>
        <v>с. Меркушевка, с. Синий Гай, с. Майское, с. Искра, с. Дмитриевка</v>
      </c>
      <c r="AM120" s="2185"/>
      <c r="AN120" s="1608">
        <f>$I$79</f>
        <v>1</v>
      </c>
      <c r="AO120" s="1608" t="str">
        <f>$I$79&amp;"."&amp;$M$120</f>
        <v>1.10</v>
      </c>
      <c r="AP120" s="1608" t="str">
        <f>$I$79&amp;"."&amp;$M$120&amp;"."&amp;$Q$120</f>
        <v>1.10.1</v>
      </c>
      <c r="AQ120" s="1608"/>
      <c r="AR120" s="15739"/>
    </row>
    <row customHeight="1" ht="17.25">
      <c r="A121" s="2181"/>
      <c r="B121" s="15739"/>
      <c r="C121" s="2186"/>
      <c r="D121" s="2171"/>
      <c r="E121" s="2188"/>
      <c r="F121" s="2125"/>
      <c r="G121" s="2189"/>
      <c r="H121" s="2171"/>
      <c r="I121" s="2171"/>
      <c r="J121" s="2192"/>
      <c r="K121" s="2189"/>
      <c r="L121" s="2449"/>
      <c r="M121" s="2449"/>
      <c r="N121" s="2845"/>
      <c r="O121" s="2527"/>
      <c r="P121" s="2449"/>
      <c r="Q121" s="2449"/>
      <c r="R121" s="2843"/>
      <c r="S121" s="2747"/>
      <c r="T121" s="1776"/>
      <c r="U121" s="1777"/>
      <c r="V121" s="1777"/>
      <c r="W121" s="2842"/>
      <c r="X121" s="15739"/>
      <c r="Y121" s="1600"/>
      <c r="Z121" s="1600"/>
      <c r="AA121" s="1600"/>
      <c r="AB121" s="1600"/>
      <c r="AC121" s="1600"/>
      <c r="AD121" s="1600"/>
      <c r="AE121" s="1600"/>
      <c r="AF121" s="1600"/>
      <c r="AG121" s="1600"/>
      <c r="AH121" s="1600"/>
      <c r="AI121" s="1600"/>
      <c r="AJ121" s="1600"/>
      <c r="AK121" s="1600"/>
      <c r="AL121" s="15739"/>
      <c r="AM121" s="15739"/>
      <c r="AN121" s="15739"/>
      <c r="AO121" s="15739"/>
      <c r="AP121" s="15739"/>
      <c r="AQ121" s="15739"/>
      <c r="AR121" s="15739"/>
    </row>
    <row customHeight="1" ht="17.25">
      <c r="A122" s="2181"/>
      <c r="B122" s="15739"/>
      <c r="C122" s="2183"/>
      <c r="D122" s="2171"/>
      <c r="E122" s="2188"/>
      <c r="F122" s="2125"/>
      <c r="G122" s="2189"/>
      <c r="H122" s="2171"/>
      <c r="I122" s="2171"/>
      <c r="J122" s="2192"/>
      <c r="K122" s="2189"/>
      <c r="L122" s="2171"/>
      <c r="M122" s="2171"/>
      <c r="N122" s="2389"/>
      <c r="O122" s="2128"/>
      <c r="P122" s="2449" t="s">
        <v>104</v>
      </c>
      <c r="Q122" s="2449" t="s">
        <v>103</v>
      </c>
      <c r="R122" s="2843" t="s">
        <v>326</v>
      </c>
      <c r="S122" s="2747" t="s">
        <v>19</v>
      </c>
      <c r="T122" s="2143"/>
      <c r="U122" s="2143" t="s">
        <v>145</v>
      </c>
      <c r="V122" s="1775"/>
      <c r="W122" s="2842"/>
      <c r="X122" s="15739"/>
      <c r="Y122" s="1608"/>
      <c r="Z122" s="1608"/>
      <c r="AA122" s="1608"/>
      <c r="AB122" s="1608"/>
      <c r="AC122" s="15753" t="s">
        <v>264</v>
      </c>
      <c r="AD122" s="15753" t="s">
        <v>265</v>
      </c>
      <c r="AE122" s="15753" t="s">
        <v>323</v>
      </c>
      <c r="AF122" s="1608" t="s">
        <v>327</v>
      </c>
      <c r="AG122" s="1608" t="s">
        <v>328</v>
      </c>
      <c r="AH122" s="1608" t="str">
        <f>IF($E$79=0,"",$E$79)</f>
        <v>Тариф на питьевую воду (питьевое водоснабжение)</v>
      </c>
      <c r="AI122" s="1608" t="str">
        <f>IF($G$79=0,"",$G$79)</f>
        <v>Холодное водоснабжение. Питьевая вода</v>
      </c>
      <c r="AJ122" s="1608" t="str">
        <f>IF($J$79=0,"",$J$79)</f>
        <v>Тариф на услуги водоснабжения</v>
      </c>
      <c r="AK122" s="1608" t="str">
        <f>IF($K$120="нет","без дифференциации",IF($N$120=0,"",$N$120))</f>
        <v>Территория 10</v>
      </c>
      <c r="AL122" s="2185" t="str">
        <f>IF($O$122="нет","без дифференциации",IF($R$122=0,"",$R$122))</f>
        <v>с. Черниговка, с. Горный Хутор</v>
      </c>
      <c r="AM122" s="2185"/>
      <c r="AN122" s="1608">
        <f>$I$79</f>
        <v>1</v>
      </c>
      <c r="AO122" s="1608" t="str">
        <f>$I$79&amp;"."&amp;$M$120</f>
        <v>1.10</v>
      </c>
      <c r="AP122" s="1608" t="str">
        <f>$I$79&amp;"."&amp;$M$120&amp;"."&amp;$Q$122</f>
        <v>1.10.2</v>
      </c>
      <c r="AQ122" s="1608"/>
      <c r="AR122" s="15739"/>
    </row>
    <row customHeight="1" ht="17.25">
      <c r="A123" s="2181"/>
      <c r="B123" s="15739"/>
      <c r="C123" s="2186"/>
      <c r="D123" s="2171"/>
      <c r="E123" s="2188"/>
      <c r="F123" s="2125"/>
      <c r="G123" s="2189"/>
      <c r="H123" s="2171"/>
      <c r="I123" s="2171"/>
      <c r="J123" s="2192"/>
      <c r="K123" s="2189"/>
      <c r="L123" s="2171"/>
      <c r="M123" s="2171"/>
      <c r="N123" s="2389"/>
      <c r="O123" s="2128"/>
      <c r="P123" s="2449"/>
      <c r="Q123" s="2449"/>
      <c r="R123" s="2843"/>
      <c r="S123" s="2747"/>
      <c r="T123" s="1776"/>
      <c r="U123" s="1777"/>
      <c r="V123" s="1777"/>
      <c r="W123" s="2842"/>
      <c r="X123" s="15739"/>
      <c r="Y123" s="1600"/>
      <c r="Z123" s="1600"/>
      <c r="AA123" s="1600"/>
      <c r="AB123" s="1600"/>
      <c r="AC123" s="1600"/>
      <c r="AD123" s="1600"/>
      <c r="AE123" s="1600"/>
      <c r="AF123" s="1600"/>
      <c r="AG123" s="1600"/>
      <c r="AH123" s="1600"/>
      <c r="AI123" s="1600"/>
      <c r="AJ123" s="1600"/>
      <c r="AK123" s="1600"/>
      <c r="AL123" s="15739"/>
      <c r="AM123" s="15739"/>
      <c r="AN123" s="15739"/>
      <c r="AO123" s="15739"/>
      <c r="AP123" s="15739"/>
      <c r="AQ123" s="15739"/>
      <c r="AR123" s="15739"/>
    </row>
    <row customHeight="1" ht="17.25">
      <c r="A124" s="2181"/>
      <c r="B124" s="15739"/>
      <c r="C124" s="2183"/>
      <c r="D124" s="2171"/>
      <c r="E124" s="2188"/>
      <c r="F124" s="2125"/>
      <c r="G124" s="2189"/>
      <c r="H124" s="2171"/>
      <c r="I124" s="2171"/>
      <c r="J124" s="2192"/>
      <c r="K124" s="2189"/>
      <c r="L124" s="2171"/>
      <c r="M124" s="2171"/>
      <c r="N124" s="2389"/>
      <c r="O124" s="2128"/>
      <c r="P124" s="2449" t="s">
        <v>104</v>
      </c>
      <c r="Q124" s="2449" t="s">
        <v>90</v>
      </c>
      <c r="R124" s="2843" t="s">
        <v>329</v>
      </c>
      <c r="S124" s="2747" t="s">
        <v>19</v>
      </c>
      <c r="T124" s="2143"/>
      <c r="U124" s="2143" t="s">
        <v>145</v>
      </c>
      <c r="V124" s="1775"/>
      <c r="W124" s="2842"/>
      <c r="X124" s="15739"/>
      <c r="Y124" s="1608"/>
      <c r="Z124" s="1608"/>
      <c r="AA124" s="1608"/>
      <c r="AB124" s="1608"/>
      <c r="AC124" s="15753" t="s">
        <v>264</v>
      </c>
      <c r="AD124" s="15753" t="s">
        <v>265</v>
      </c>
      <c r="AE124" s="15753" t="s">
        <v>323</v>
      </c>
      <c r="AF124" s="1608" t="s">
        <v>330</v>
      </c>
      <c r="AG124" s="1608" t="s">
        <v>331</v>
      </c>
      <c r="AH124" s="1608" t="str">
        <f>IF($E$79=0,"",$E$79)</f>
        <v>Тариф на питьевую воду (питьевое водоснабжение)</v>
      </c>
      <c r="AI124" s="1608" t="str">
        <f>IF($G$79=0,"",$G$79)</f>
        <v>Холодное водоснабжение. Питьевая вода</v>
      </c>
      <c r="AJ124" s="1608" t="str">
        <f>IF($J$79=0,"",$J$79)</f>
        <v>Тариф на услуги водоснабжения</v>
      </c>
      <c r="AK124" s="1608" t="str">
        <f>IF($K$120="нет","без дифференциации",IF($N$120=0,"",$N$120))</f>
        <v>Территория 10</v>
      </c>
      <c r="AL124" s="2185" t="str">
        <f>IF($O$124="нет","без дифференциации",IF($R$124=0,"",$R$124))</f>
        <v>с. Абражеевка, с. Васиановка, с. Снегуровка</v>
      </c>
      <c r="AM124" s="2185"/>
      <c r="AN124" s="1608">
        <f>$I$79</f>
        <v>1</v>
      </c>
      <c r="AO124" s="1608" t="str">
        <f>$I$79&amp;"."&amp;$M$120</f>
        <v>1.10</v>
      </c>
      <c r="AP124" s="1608" t="str">
        <f>$I$79&amp;"."&amp;$M$120&amp;"."&amp;$Q$124</f>
        <v>1.10.3</v>
      </c>
      <c r="AQ124" s="1608"/>
      <c r="AR124" s="15739"/>
    </row>
    <row customHeight="1" ht="17.25">
      <c r="A125" s="2181"/>
      <c r="B125" s="15739"/>
      <c r="C125" s="2186"/>
      <c r="D125" s="2171"/>
      <c r="E125" s="2188"/>
      <c r="F125" s="2125"/>
      <c r="G125" s="2189"/>
      <c r="H125" s="2171"/>
      <c r="I125" s="2171"/>
      <c r="J125" s="2192"/>
      <c r="K125" s="2189"/>
      <c r="L125" s="2171"/>
      <c r="M125" s="2171"/>
      <c r="N125" s="2389"/>
      <c r="O125" s="2128"/>
      <c r="P125" s="2449"/>
      <c r="Q125" s="2449"/>
      <c r="R125" s="2843"/>
      <c r="S125" s="2747"/>
      <c r="T125" s="1776"/>
      <c r="U125" s="1777"/>
      <c r="V125" s="1777"/>
      <c r="W125" s="2842"/>
      <c r="X125" s="15739"/>
      <c r="Y125" s="1600"/>
      <c r="Z125" s="1600"/>
      <c r="AA125" s="1600"/>
      <c r="AB125" s="1600"/>
      <c r="AC125" s="1600"/>
      <c r="AD125" s="1600"/>
      <c r="AE125" s="1600"/>
      <c r="AF125" s="1600"/>
      <c r="AG125" s="1600"/>
      <c r="AH125" s="1600"/>
      <c r="AI125" s="1600"/>
      <c r="AJ125" s="1600"/>
      <c r="AK125" s="1600"/>
      <c r="AL125" s="15739"/>
      <c r="AM125" s="15739"/>
      <c r="AN125" s="15739"/>
      <c r="AO125" s="15739"/>
      <c r="AP125" s="15739"/>
      <c r="AQ125" s="15739"/>
      <c r="AR125" s="15739"/>
    </row>
    <row customHeight="1" ht="17.25">
      <c r="A126" s="2181"/>
      <c r="B126" s="15739"/>
      <c r="C126" s="2183"/>
      <c r="D126" s="2171"/>
      <c r="E126" s="2188"/>
      <c r="F126" s="2125"/>
      <c r="G126" s="2189"/>
      <c r="H126" s="2171"/>
      <c r="I126" s="2171"/>
      <c r="J126" s="2192"/>
      <c r="K126" s="2189"/>
      <c r="L126" s="2171"/>
      <c r="M126" s="2171"/>
      <c r="N126" s="2389"/>
      <c r="O126" s="2128"/>
      <c r="P126" s="2449" t="s">
        <v>104</v>
      </c>
      <c r="Q126" s="2449" t="s">
        <v>91</v>
      </c>
      <c r="R126" s="2843" t="s">
        <v>332</v>
      </c>
      <c r="S126" s="2747" t="s">
        <v>19</v>
      </c>
      <c r="T126" s="2143"/>
      <c r="U126" s="2143" t="s">
        <v>145</v>
      </c>
      <c r="V126" s="1775"/>
      <c r="W126" s="2842"/>
      <c r="X126" s="15739"/>
      <c r="Y126" s="1608"/>
      <c r="Z126" s="1608"/>
      <c r="AA126" s="1608"/>
      <c r="AB126" s="1608"/>
      <c r="AC126" s="15753" t="s">
        <v>264</v>
      </c>
      <c r="AD126" s="15753" t="s">
        <v>265</v>
      </c>
      <c r="AE126" s="15753" t="s">
        <v>323</v>
      </c>
      <c r="AF126" s="1608" t="s">
        <v>333</v>
      </c>
      <c r="AG126" s="1608" t="s">
        <v>334</v>
      </c>
      <c r="AH126" s="1608" t="str">
        <f>IF($E$79=0,"",$E$79)</f>
        <v>Тариф на питьевую воду (питьевое водоснабжение)</v>
      </c>
      <c r="AI126" s="1608" t="str">
        <f>IF($G$79=0,"",$G$79)</f>
        <v>Холодное водоснабжение. Питьевая вода</v>
      </c>
      <c r="AJ126" s="1608" t="str">
        <f>IF($J$79=0,"",$J$79)</f>
        <v>Тариф на услуги водоснабжения</v>
      </c>
      <c r="AK126" s="1608" t="str">
        <f>IF($K$120="нет","без дифференциации",IF($N$120=0,"",$N$120))</f>
        <v>Территория 10</v>
      </c>
      <c r="AL126" s="2185" t="str">
        <f>IF($O$126="нет","без дифференциации",IF($R$126=0,"",$R$126))</f>
        <v>с.Реттиховка</v>
      </c>
      <c r="AM126" s="2185"/>
      <c r="AN126" s="1608">
        <f>$I$79</f>
        <v>1</v>
      </c>
      <c r="AO126" s="1608" t="str">
        <f>$I$79&amp;"."&amp;$M$120</f>
        <v>1.10</v>
      </c>
      <c r="AP126" s="1608" t="str">
        <f>$I$79&amp;"."&amp;$M$120&amp;"."&amp;$Q$126</f>
        <v>1.10.4</v>
      </c>
      <c r="AQ126" s="1608"/>
      <c r="AR126" s="15739"/>
    </row>
    <row customHeight="1" ht="17.25">
      <c r="A127" s="2181"/>
      <c r="B127" s="15739"/>
      <c r="C127" s="2186"/>
      <c r="D127" s="2171"/>
      <c r="E127" s="2188"/>
      <c r="F127" s="2125"/>
      <c r="G127" s="2189"/>
      <c r="H127" s="2171"/>
      <c r="I127" s="2171"/>
      <c r="J127" s="2192"/>
      <c r="K127" s="2189"/>
      <c r="L127" s="2171"/>
      <c r="M127" s="2171"/>
      <c r="N127" s="2389"/>
      <c r="O127" s="2128"/>
      <c r="P127" s="2449"/>
      <c r="Q127" s="2449"/>
      <c r="R127" s="2843"/>
      <c r="S127" s="2747"/>
      <c r="T127" s="1776"/>
      <c r="U127" s="1777"/>
      <c r="V127" s="1777"/>
      <c r="W127" s="2842"/>
      <c r="X127" s="15739"/>
      <c r="Y127" s="1600"/>
      <c r="Z127" s="1600"/>
      <c r="AA127" s="1600"/>
      <c r="AB127" s="1600"/>
      <c r="AC127" s="1600"/>
      <c r="AD127" s="1600"/>
      <c r="AE127" s="1600"/>
      <c r="AF127" s="1600"/>
      <c r="AG127" s="1600"/>
      <c r="AH127" s="1600"/>
      <c r="AI127" s="1600"/>
      <c r="AJ127" s="1600"/>
      <c r="AK127" s="1600"/>
      <c r="AL127" s="15739"/>
      <c r="AM127" s="15739"/>
      <c r="AN127" s="15739"/>
      <c r="AO127" s="15739"/>
      <c r="AP127" s="15739"/>
      <c r="AQ127" s="15739"/>
      <c r="AR127" s="15739"/>
    </row>
    <row customHeight="1" ht="17.25">
      <c r="A128" s="2181"/>
      <c r="B128" s="15739"/>
      <c r="C128" s="2186"/>
      <c r="D128" s="2171"/>
      <c r="E128" s="2188"/>
      <c r="F128" s="2125"/>
      <c r="G128" s="2189"/>
      <c r="H128" s="2171"/>
      <c r="I128" s="2171"/>
      <c r="J128" s="2192"/>
      <c r="K128" s="2189"/>
      <c r="L128" s="2844"/>
      <c r="M128" s="2844"/>
      <c r="N128" s="2846"/>
      <c r="O128" s="2453"/>
      <c r="P128" s="658"/>
      <c r="Q128" s="659"/>
      <c r="R128" s="659" t="s">
        <v>280</v>
      </c>
      <c r="S128" s="2187"/>
      <c r="T128" s="2187"/>
      <c r="U128" s="2187"/>
      <c r="V128" s="2187"/>
      <c r="W128" s="1774"/>
      <c r="X128" s="15739"/>
      <c r="Y128" s="1600"/>
      <c r="Z128" s="1600"/>
      <c r="AA128" s="1600"/>
      <c r="AB128" s="1600"/>
      <c r="AC128" s="1600"/>
      <c r="AD128" s="1600"/>
      <c r="AE128" s="1600"/>
      <c r="AF128" s="1600"/>
      <c r="AG128" s="1600"/>
      <c r="AH128" s="1600"/>
      <c r="AI128" s="1600"/>
      <c r="AJ128" s="1600"/>
      <c r="AK128" s="1600"/>
      <c r="AL128" s="15739"/>
      <c r="AM128" s="15739"/>
      <c r="AN128" s="15739"/>
      <c r="AO128" s="15739"/>
      <c r="AP128" s="15739"/>
      <c r="AQ128" s="15739"/>
      <c r="AR128" s="15739"/>
    </row>
    <row customHeight="1" ht="17.25">
      <c r="A129" s="2181"/>
      <c r="B129" s="15739"/>
      <c r="C129" s="2183"/>
      <c r="D129" s="2171"/>
      <c r="E129" s="2188"/>
      <c r="F129" s="2125"/>
      <c r="G129" s="2189"/>
      <c r="H129" s="2171"/>
      <c r="I129" s="2171"/>
      <c r="J129" s="2192"/>
      <c r="K129" s="2189"/>
      <c r="L129" s="2449" t="s">
        <v>104</v>
      </c>
      <c r="M129" s="2449" t="s">
        <v>143</v>
      </c>
      <c r="N129" s="2845" t="str">
        <f>IF(Z129="","",INDEX(TERRITORY_MR_LIST,MATCH(Z129,TERRITORY_LIST_ID,0)))</f>
        <v>Территория 11</v>
      </c>
      <c r="O129" s="2526" t="s">
        <v>66</v>
      </c>
      <c r="P129" s="2449"/>
      <c r="Q129" s="2449" t="s">
        <v>145</v>
      </c>
      <c r="R129" s="2843" t="s">
        <v>335</v>
      </c>
      <c r="S129" s="2747" t="s">
        <v>19</v>
      </c>
      <c r="T129" s="2143"/>
      <c r="U129" s="2143" t="s">
        <v>145</v>
      </c>
      <c r="V129" s="1775"/>
      <c r="W129" s="2842"/>
      <c r="X129" s="15739"/>
      <c r="Y129" s="1608"/>
      <c r="Z129" s="1608" t="s">
        <v>144</v>
      </c>
      <c r="AA129" s="1608"/>
      <c r="AB129" s="1608"/>
      <c r="AC129" s="15753" t="s">
        <v>264</v>
      </c>
      <c r="AD129" s="15753" t="s">
        <v>265</v>
      </c>
      <c r="AE129" s="1608" t="s">
        <v>336</v>
      </c>
      <c r="AF129" s="1608" t="s">
        <v>337</v>
      </c>
      <c r="AG129" s="1608" t="s">
        <v>338</v>
      </c>
      <c r="AH129" s="1608" t="str">
        <f>IF($E$79=0,"",$E$79)</f>
        <v>Тариф на питьевую воду (питьевое водоснабжение)</v>
      </c>
      <c r="AI129" s="1608" t="str">
        <f>IF($G$79=0,"",$G$79)</f>
        <v>Холодное водоснабжение. Питьевая вода</v>
      </c>
      <c r="AJ129" s="1608" t="str">
        <f>IF($J$79=0,"",$J$79)</f>
        <v>Тариф на услуги водоснабжения</v>
      </c>
      <c r="AK129" s="1608" t="str">
        <f>IF($K$129="нет","без дифференциации",IF($N$129=0,"",$N$129))</f>
        <v>Территория 11</v>
      </c>
      <c r="AL129" s="2185" t="str">
        <f>IF($O$129="нет","без дифференциации",IF($R$129=0,"",$R$129))</f>
        <v>с. Анучино, с. Новогордеевка</v>
      </c>
      <c r="AM129" s="2185"/>
      <c r="AN129" s="1608">
        <f>$I$79</f>
        <v>1</v>
      </c>
      <c r="AO129" s="1608" t="str">
        <f>$I$79&amp;"."&amp;$M$129</f>
        <v>1.11</v>
      </c>
      <c r="AP129" s="1608" t="str">
        <f>$I$79&amp;"."&amp;$M$129&amp;"."&amp;$Q$129</f>
        <v>1.11.1</v>
      </c>
      <c r="AQ129" s="1608"/>
      <c r="AR129" s="15739"/>
    </row>
    <row customHeight="1" ht="17.25">
      <c r="A130" s="2181"/>
      <c r="B130" s="15739"/>
      <c r="C130" s="2186"/>
      <c r="D130" s="2171"/>
      <c r="E130" s="2188"/>
      <c r="F130" s="2125"/>
      <c r="G130" s="2189"/>
      <c r="H130" s="2171"/>
      <c r="I130" s="2171"/>
      <c r="J130" s="2192"/>
      <c r="K130" s="2189"/>
      <c r="L130" s="2449"/>
      <c r="M130" s="2449"/>
      <c r="N130" s="2845"/>
      <c r="O130" s="2527"/>
      <c r="P130" s="2449"/>
      <c r="Q130" s="2449"/>
      <c r="R130" s="2843"/>
      <c r="S130" s="2747"/>
      <c r="T130" s="1776"/>
      <c r="U130" s="1777"/>
      <c r="V130" s="1777"/>
      <c r="W130" s="2842"/>
      <c r="X130" s="15739"/>
      <c r="Y130" s="1600"/>
      <c r="Z130" s="1600"/>
      <c r="AA130" s="1600"/>
      <c r="AB130" s="1600"/>
      <c r="AC130" s="1600"/>
      <c r="AD130" s="1600"/>
      <c r="AE130" s="1600"/>
      <c r="AF130" s="1600"/>
      <c r="AG130" s="1600"/>
      <c r="AH130" s="1600"/>
      <c r="AI130" s="1600"/>
      <c r="AJ130" s="1600"/>
      <c r="AK130" s="1600"/>
      <c r="AL130" s="15739"/>
      <c r="AM130" s="15739"/>
      <c r="AN130" s="15739"/>
      <c r="AO130" s="15739"/>
      <c r="AP130" s="15739"/>
      <c r="AQ130" s="15739"/>
      <c r="AR130" s="15739"/>
    </row>
    <row customHeight="1" ht="17.25">
      <c r="A131" s="2181"/>
      <c r="B131" s="15739"/>
      <c r="C131" s="2186"/>
      <c r="D131" s="2171"/>
      <c r="E131" s="2188"/>
      <c r="F131" s="2125"/>
      <c r="G131" s="2189"/>
      <c r="H131" s="2171"/>
      <c r="I131" s="2171"/>
      <c r="J131" s="2192"/>
      <c r="K131" s="2189"/>
      <c r="L131" s="2844"/>
      <c r="M131" s="2844"/>
      <c r="N131" s="2846"/>
      <c r="O131" s="2453"/>
      <c r="P131" s="658"/>
      <c r="Q131" s="659"/>
      <c r="R131" s="659" t="s">
        <v>280</v>
      </c>
      <c r="S131" s="2187"/>
      <c r="T131" s="2187"/>
      <c r="U131" s="2187"/>
      <c r="V131" s="2187"/>
      <c r="W131" s="1774"/>
      <c r="X131" s="15739"/>
      <c r="Y131" s="1600"/>
      <c r="Z131" s="1600"/>
      <c r="AA131" s="1600"/>
      <c r="AB131" s="1600"/>
      <c r="AC131" s="1600"/>
      <c r="AD131" s="1600"/>
      <c r="AE131" s="1600"/>
      <c r="AF131" s="1600"/>
      <c r="AG131" s="1600"/>
      <c r="AH131" s="1600"/>
      <c r="AI131" s="1600"/>
      <c r="AJ131" s="1600"/>
      <c r="AK131" s="1600"/>
      <c r="AL131" s="15739"/>
      <c r="AM131" s="15739"/>
      <c r="AN131" s="15739"/>
      <c r="AO131" s="15739"/>
      <c r="AP131" s="15739"/>
      <c r="AQ131" s="15739"/>
      <c r="AR131" s="15739"/>
    </row>
    <row s="21825" customFormat="1" customHeight="1" ht="17.25">
      <c r="A132" s="662"/>
      <c r="C132" s="661"/>
      <c r="D132" s="2476"/>
      <c r="E132" s="2484"/>
      <c r="F132" s="2487"/>
      <c r="G132" s="3426"/>
      <c r="H132" s="3457"/>
      <c r="I132" s="3457"/>
      <c r="J132" s="3458"/>
      <c r="K132" s="3460"/>
      <c r="L132" s="3470"/>
      <c r="M132" s="3471"/>
      <c r="N132" s="3472" t="s">
        <v>339</v>
      </c>
      <c r="O132" s="3473"/>
      <c r="P132" s="3474"/>
      <c r="Q132" s="3475"/>
      <c r="R132" s="3476"/>
      <c r="S132" s="3477"/>
      <c r="T132" s="3478"/>
      <c r="U132" s="3479"/>
      <c r="V132" s="3480"/>
      <c r="W132" s="3481"/>
      <c r="Y132" s="1600"/>
      <c r="Z132" s="1600"/>
      <c r="AA132" s="1600"/>
      <c r="AB132" s="1600"/>
      <c r="AC132" s="1600"/>
      <c r="AD132" s="1600"/>
      <c r="AE132" s="1600"/>
      <c r="AF132" s="1600"/>
      <c r="AG132" s="1600"/>
      <c r="AH132" s="1600"/>
      <c r="AI132" s="1600"/>
      <c r="AJ132" s="1600"/>
      <c r="AK132" s="1600"/>
      <c r="AL132" s="1600"/>
      <c r="AM132" s="1600"/>
      <c r="AN132" s="1600"/>
      <c r="AO132" s="1600"/>
      <c r="AP132" s="1600"/>
      <c r="AQ132" s="1600"/>
      <c r="AR132" s="1782">
        <v>0</v>
      </c>
    </row>
    <row s="21825" customFormat="1" customHeight="1" ht="17.25">
      <c r="A133" s="662"/>
      <c r="C133" s="661"/>
      <c r="D133" s="2477"/>
      <c r="E133" s="2485"/>
      <c r="F133" s="2488"/>
      <c r="G133" s="3482"/>
      <c r="H133" s="3483"/>
      <c r="I133" s="3484"/>
      <c r="J133" s="3485" t="s">
        <v>340</v>
      </c>
      <c r="K133" s="3486"/>
      <c r="L133" s="3487"/>
      <c r="M133" s="3488"/>
      <c r="N133" s="3489"/>
      <c r="O133" s="3490"/>
      <c r="P133" s="3491"/>
      <c r="Q133" s="3492"/>
      <c r="R133" s="3493"/>
      <c r="S133" s="3494"/>
      <c r="T133" s="3495"/>
      <c r="U133" s="3496"/>
      <c r="V133" s="3497"/>
      <c r="W133" s="3498"/>
      <c r="Y133" s="1600"/>
      <c r="Z133" s="1600"/>
      <c r="AA133" s="1600"/>
      <c r="AB133" s="1600"/>
      <c r="AC133" s="1600"/>
      <c r="AD133" s="1600"/>
      <c r="AE133" s="1600"/>
      <c r="AF133" s="1600"/>
      <c r="AG133" s="1600"/>
      <c r="AH133" s="1600"/>
      <c r="AI133" s="1600"/>
      <c r="AJ133" s="1600"/>
      <c r="AK133" s="1600"/>
      <c r="AL133" s="1600"/>
      <c r="AM133" s="1600"/>
      <c r="AN133" s="1600"/>
      <c r="AO133" s="1600"/>
      <c r="AP133" s="1600"/>
      <c r="AQ133" s="1600"/>
      <c r="AR133" s="1691">
        <v>0</v>
      </c>
    </row>
    <row s="21825" customFormat="1" customHeight="1" ht="17.25">
      <c r="A134" s="662"/>
      <c r="C134" s="550"/>
      <c r="D134" s="2476">
        <v>2</v>
      </c>
      <c r="E134" s="2484" t="s">
        <v>341</v>
      </c>
      <c r="F134" s="2486" t="s">
        <v>66</v>
      </c>
      <c r="G134" s="15811" t="str">
        <f>INDEX(VD_NAME_LIST,MATCH("4189672",VD_ID_LIST,0))</f>
        <v>Холодное водоснабжение. Техническая вода</v>
      </c>
      <c r="H134" s="15812"/>
      <c r="I134" s="15812">
        <v>1</v>
      </c>
      <c r="J134" s="15813"/>
      <c r="K134" s="15814" t="s">
        <v>66</v>
      </c>
      <c r="L134" s="15815"/>
      <c r="M134" s="15815" t="s">
        <v>145</v>
      </c>
      <c r="N134" s="15816" t="str">
        <f>IF(Z134="","",INDEX(TERRITORY_MR_LIST,MATCH(Z134,TERRITORY_LIST_ID,0)))</f>
        <v>Территория 9</v>
      </c>
      <c r="O134" s="15814" t="s">
        <v>66</v>
      </c>
      <c r="P134" s="15815"/>
      <c r="Q134" s="15815" t="s">
        <v>145</v>
      </c>
      <c r="R134" s="15817" t="s">
        <v>342</v>
      </c>
      <c r="S134" s="15818" t="s">
        <v>19</v>
      </c>
      <c r="T134" s="15818"/>
      <c r="U134" s="15818" t="s">
        <v>145</v>
      </c>
      <c r="V134" s="15819"/>
      <c r="W134" s="15813"/>
      <c r="X134" s="1608"/>
      <c r="Y134" s="1608"/>
      <c r="Z134" s="1608" t="s">
        <v>135</v>
      </c>
      <c r="AA134" s="1608"/>
      <c r="AB134" s="1608" t="s">
        <v>343</v>
      </c>
      <c r="AC134" s="1608" t="s">
        <v>344</v>
      </c>
      <c r="AD134" s="1608" t="s">
        <v>345</v>
      </c>
      <c r="AE134" s="1608" t="s">
        <v>346</v>
      </c>
      <c r="AF134" s="1608" t="s">
        <v>347</v>
      </c>
      <c r="AG134" s="1608"/>
      <c r="AH134" s="1608" t="str">
        <f>IF($E$134=0,"",$E$134)</f>
        <v>Тариф на техническую воду</v>
      </c>
      <c r="AI134" s="1608" t="str">
        <f>IF($G$134=0,"",$G$134)</f>
        <v>Холодное водоснабжение. Техническая вода</v>
      </c>
      <c r="AJ134" s="1608" t="str">
        <f>IF($J$134=0,"",$J$134)</f>
        <v/>
      </c>
      <c r="AK134" s="1608" t="str">
        <f>IF($K$134="нет","без дифференциации",IF($N$134=0,"",$N$134))</f>
        <v>Территория 9</v>
      </c>
      <c r="AL134" s="1608" t="str">
        <f>IF($O$134="нет","без дифференциации",IF($R$134=0,"",$R$134))</f>
        <v>ГО Спасск-Дальний</v>
      </c>
      <c r="AM134" s="1608" t="str">
        <f>IF($S$134="нет","без дифференциации",IF($V$134=0,"",$V$134))</f>
        <v>без дифференциации</v>
      </c>
      <c r="AN134" s="2113">
        <f>$I$134</f>
        <v>1</v>
      </c>
      <c r="AO134" s="1608" t="str">
        <f>$I$134&amp;"."&amp;$M$134</f>
        <v>1.1</v>
      </c>
      <c r="AP134" s="1600" t="str">
        <f>$I$134&amp;"."&amp;$M$134&amp;"."&amp;$Q$134</f>
        <v>1.1.1</v>
      </c>
      <c r="AQ134" s="1600" t="str">
        <f>$I$134&amp;"."&amp;$M$134&amp;"."&amp;$Q$134&amp;"."&amp;$U$134</f>
        <v>1.1.1.1</v>
      </c>
      <c r="AR134" s="1691">
        <v>0</v>
      </c>
    </row>
    <row s="21825" customFormat="1" customHeight="1" ht="17.25">
      <c r="A135" s="662"/>
      <c r="C135" s="661"/>
      <c r="D135" s="2476"/>
      <c r="E135" s="2484"/>
      <c r="F135" s="2487"/>
      <c r="G135" s="15811"/>
      <c r="H135" s="15812"/>
      <c r="I135" s="15812"/>
      <c r="J135" s="15813"/>
      <c r="K135" s="15820"/>
      <c r="L135" s="15815"/>
      <c r="M135" s="15815"/>
      <c r="N135" s="15816"/>
      <c r="O135" s="15820"/>
      <c r="P135" s="15815"/>
      <c r="Q135" s="15815"/>
      <c r="R135" s="15817"/>
      <c r="S135" s="15818"/>
      <c r="T135" s="15821"/>
      <c r="U135" s="15822"/>
      <c r="V135" s="15822"/>
      <c r="W135" s="15813"/>
      <c r="X135" s="1600"/>
      <c r="Y135" s="1600"/>
      <c r="Z135" s="1600"/>
      <c r="AA135" s="1600"/>
      <c r="AB135" s="1600"/>
      <c r="AC135" s="1600"/>
      <c r="AD135" s="1600"/>
      <c r="AE135" s="1600"/>
      <c r="AF135" s="1600"/>
      <c r="AG135" s="1600"/>
      <c r="AH135" s="1600"/>
      <c r="AI135" s="1600"/>
      <c r="AJ135" s="1600"/>
      <c r="AK135" s="1600"/>
      <c r="AL135" s="1600"/>
      <c r="AM135" s="1600"/>
      <c r="AN135" s="1600"/>
      <c r="AO135" s="1600"/>
      <c r="AP135" s="1600"/>
      <c r="AQ135" s="1600"/>
      <c r="AR135" s="1691">
        <v>0</v>
      </c>
    </row>
    <row s="21825" customFormat="1" customHeight="1" ht="17.25">
      <c r="A136" s="662"/>
      <c r="C136" s="661"/>
      <c r="D136" s="2477"/>
      <c r="E136" s="2485"/>
      <c r="F136" s="2487"/>
      <c r="G136" s="15823"/>
      <c r="H136" s="15824"/>
      <c r="I136" s="15824"/>
      <c r="J136" s="15825"/>
      <c r="K136" s="15820"/>
      <c r="L136" s="15824"/>
      <c r="M136" s="15824"/>
      <c r="N136" s="15826"/>
      <c r="O136" s="15827"/>
      <c r="P136" s="15828"/>
      <c r="Q136" s="15829"/>
      <c r="R136" s="15830" t="s">
        <v>280</v>
      </c>
      <c r="S136" s="15831"/>
      <c r="T136" s="15832"/>
      <c r="U136" s="15833"/>
      <c r="V136" s="15834"/>
      <c r="W136" s="15835"/>
      <c r="X136" s="1600"/>
      <c r="Y136" s="1600"/>
      <c r="Z136" s="1600"/>
      <c r="AA136" s="1600"/>
      <c r="AB136" s="1600"/>
      <c r="AC136" s="1600"/>
      <c r="AD136" s="1600"/>
      <c r="AE136" s="1600"/>
      <c r="AF136" s="1600"/>
      <c r="AG136" s="1600"/>
      <c r="AH136" s="1600"/>
      <c r="AI136" s="1600"/>
      <c r="AJ136" s="1600"/>
      <c r="AK136" s="1600"/>
      <c r="AL136" s="1600"/>
      <c r="AM136" s="1600"/>
      <c r="AN136" s="1600"/>
      <c r="AO136" s="1600"/>
      <c r="AP136" s="1600"/>
      <c r="AQ136" s="1600"/>
      <c r="AR136" s="1691">
        <v>0</v>
      </c>
    </row>
    <row s="21825" customFormat="1" customHeight="1" ht="17.25">
      <c r="A137" s="662"/>
      <c r="C137" s="661"/>
      <c r="D137" s="2477"/>
      <c r="E137" s="2485"/>
      <c r="F137" s="2487"/>
      <c r="G137" s="15823"/>
      <c r="H137" s="15824"/>
      <c r="I137" s="15824"/>
      <c r="J137" s="15825"/>
      <c r="K137" s="15827"/>
      <c r="L137" s="15836"/>
      <c r="M137" s="15837"/>
      <c r="N137" s="15838" t="s">
        <v>339</v>
      </c>
      <c r="O137" s="15839"/>
      <c r="P137" s="15840"/>
      <c r="Q137" s="15841"/>
      <c r="R137" s="15842"/>
      <c r="S137" s="15843"/>
      <c r="T137" s="15844"/>
      <c r="U137" s="15845"/>
      <c r="V137" s="15846"/>
      <c r="W137" s="15847"/>
      <c r="X137" s="1600"/>
      <c r="Y137" s="1600"/>
      <c r="Z137" s="1600"/>
      <c r="AA137" s="1600"/>
      <c r="AB137" s="1600"/>
      <c r="AC137" s="1600"/>
      <c r="AD137" s="1600"/>
      <c r="AE137" s="1600"/>
      <c r="AF137" s="1600"/>
      <c r="AG137" s="1600"/>
      <c r="AH137" s="1600"/>
      <c r="AI137" s="1600"/>
      <c r="AJ137" s="1600"/>
      <c r="AK137" s="1600"/>
      <c r="AL137" s="1600"/>
      <c r="AM137" s="1600"/>
      <c r="AN137" s="1600"/>
      <c r="AO137" s="1600"/>
      <c r="AP137" s="1600"/>
      <c r="AQ137" s="1600"/>
      <c r="AR137" s="1691">
        <v>0</v>
      </c>
    </row>
    <row s="21825" customFormat="1" customHeight="1" ht="17.25">
      <c r="A138" s="662"/>
      <c r="C138" s="661"/>
      <c r="D138" s="2477"/>
      <c r="E138" s="2485"/>
      <c r="F138" s="2488"/>
      <c r="G138" s="15823"/>
      <c r="H138" s="15848"/>
      <c r="I138" s="15849"/>
      <c r="J138" s="15850" t="s">
        <v>340</v>
      </c>
      <c r="K138" s="15851"/>
      <c r="L138" s="15852"/>
      <c r="M138" s="15853"/>
      <c r="N138" s="15854"/>
      <c r="O138" s="15855"/>
      <c r="P138" s="15856"/>
      <c r="Q138" s="15857"/>
      <c r="R138" s="15858"/>
      <c r="S138" s="15859"/>
      <c r="T138" s="15860"/>
      <c r="U138" s="15861"/>
      <c r="V138" s="15862"/>
      <c r="W138" s="15863"/>
      <c r="X138" s="1600"/>
      <c r="Y138" s="1600"/>
      <c r="Z138" s="1600"/>
      <c r="AA138" s="1600"/>
      <c r="AB138" s="1600"/>
      <c r="AC138" s="1600"/>
      <c r="AD138" s="1600"/>
      <c r="AE138" s="1600"/>
      <c r="AF138" s="1600"/>
      <c r="AG138" s="1600"/>
      <c r="AH138" s="1600"/>
      <c r="AI138" s="1600"/>
      <c r="AJ138" s="1600"/>
      <c r="AK138" s="1600"/>
      <c r="AL138" s="1600"/>
      <c r="AM138" s="1600"/>
      <c r="AN138" s="1600"/>
      <c r="AO138" s="1600"/>
      <c r="AP138" s="1600"/>
      <c r="AQ138" s="1600"/>
      <c r="AR138" s="1691">
        <v>0</v>
      </c>
    </row>
    <row s="21825" customFormat="1" customHeight="1" ht="17.25">
      <c r="A139" s="662"/>
      <c r="C139" s="550"/>
      <c r="D139" s="2476">
        <v>3</v>
      </c>
      <c r="E139" s="2484" t="s">
        <v>348</v>
      </c>
      <c r="F139" s="2486" t="s">
        <v>19</v>
      </c>
      <c r="G139" s="2484"/>
      <c r="H139" s="2489"/>
      <c r="I139" s="2491"/>
      <c r="J139" s="2493"/>
      <c r="K139" s="2478"/>
      <c r="L139" s="2478"/>
      <c r="M139" s="2478"/>
      <c r="N139" s="2480"/>
      <c r="O139" s="2478"/>
      <c r="P139" s="2478"/>
      <c r="Q139" s="2478"/>
      <c r="R139" s="2483"/>
      <c r="S139" s="2478"/>
      <c r="T139" s="1784"/>
      <c r="U139" s="1784"/>
      <c r="V139" s="1786"/>
      <c r="W139" s="1637"/>
      <c r="X139" s="1608"/>
      <c r="Y139" s="1608"/>
      <c r="Z139" s="1608"/>
      <c r="AA139" s="1608"/>
      <c r="AB139" s="1608"/>
      <c r="AC139" s="1608" t="s">
        <v>349</v>
      </c>
      <c r="AD139" s="1608" t="s">
        <v>350</v>
      </c>
      <c r="AE139" s="1608" t="s">
        <v>351</v>
      </c>
      <c r="AF139" s="1608" t="s">
        <v>352</v>
      </c>
      <c r="AG139" s="1608"/>
      <c r="AH139" s="1608" t="str">
        <f>IF($E$139=0,"",$E$139)</f>
        <v>Тариф на транспортировку воды</v>
      </c>
      <c r="AI139" s="1608" t="str">
        <f>IF($G$139=0,"",$G$139)</f>
        <v/>
      </c>
      <c r="AJ139" s="1608" t="str">
        <f>IF($J$139=0,"",$J$139)</f>
        <v/>
      </c>
      <c r="AK139" s="1608" t="str">
        <f>IF($K$139="нет","без дифференциации",IF($N$139=0,"",$N$139))</f>
        <v/>
      </c>
      <c r="AL139" s="1608" t="str">
        <f>IF($O$139="нет","без дифференциации",IF($R$139=0,"",$R$139))</f>
        <v/>
      </c>
      <c r="AM139" s="1608" t="str">
        <f>IF($S$139="нет","без дифференциации",IF($V$139=0,"",$V$139))</f>
        <v/>
      </c>
      <c r="AN139" s="2113">
        <f>$I$139</f>
        <v>0</v>
      </c>
      <c r="AO139" s="1608" t="str">
        <f>$I$139&amp;"."&amp;$M$139</f>
        <v>.</v>
      </c>
      <c r="AP139" s="1600" t="str">
        <f>$I$139&amp;"."&amp;$M$139&amp;"."&amp;$Q$139</f>
        <v>..</v>
      </c>
      <c r="AQ139" s="1600" t="str">
        <f>$I$139&amp;"."&amp;$M$139&amp;"."&amp;$Q$139&amp;"."&amp;$U$139</f>
        <v>...</v>
      </c>
      <c r="AR139" s="1691">
        <v>0</v>
      </c>
    </row>
    <row s="21825" customFormat="1" customHeight="1" ht="17.25">
      <c r="A140" s="662"/>
      <c r="C140" s="661"/>
      <c r="D140" s="2476"/>
      <c r="E140" s="2484"/>
      <c r="F140" s="2487"/>
      <c r="G140" s="2484"/>
      <c r="H140" s="2490"/>
      <c r="I140" s="2492"/>
      <c r="J140" s="2494"/>
      <c r="K140" s="2479"/>
      <c r="L140" s="2479"/>
      <c r="M140" s="2479"/>
      <c r="N140" s="2481"/>
      <c r="O140" s="2479"/>
      <c r="P140" s="2479"/>
      <c r="Q140" s="2479"/>
      <c r="R140" s="2482"/>
      <c r="S140" s="2479"/>
      <c r="T140" s="1638"/>
      <c r="U140" s="1638"/>
      <c r="V140" s="1638"/>
      <c r="W140" s="1639"/>
      <c r="X140" s="1600"/>
      <c r="Y140" s="1600"/>
      <c r="Z140" s="1600"/>
      <c r="AA140" s="1600"/>
      <c r="AB140" s="1600"/>
      <c r="AC140" s="1600"/>
      <c r="AD140" s="1600"/>
      <c r="AE140" s="1600"/>
      <c r="AF140" s="1600"/>
      <c r="AG140" s="1600"/>
      <c r="AH140" s="1600"/>
      <c r="AI140" s="1600"/>
      <c r="AJ140" s="1600"/>
      <c r="AK140" s="1600"/>
      <c r="AL140" s="1600"/>
      <c r="AM140" s="1600"/>
      <c r="AN140" s="1600"/>
      <c r="AO140" s="1600"/>
      <c r="AP140" s="1600"/>
      <c r="AQ140" s="1600"/>
      <c r="AR140" s="1691">
        <v>0</v>
      </c>
    </row>
    <row s="21825" customFormat="1" customHeight="1" ht="17.25">
      <c r="A141" s="662"/>
      <c r="C141" s="661"/>
      <c r="D141" s="2477"/>
      <c r="E141" s="2485"/>
      <c r="F141" s="2487"/>
      <c r="G141" s="2485"/>
      <c r="H141" s="2490"/>
      <c r="I141" s="2492"/>
      <c r="J141" s="2495"/>
      <c r="K141" s="2479"/>
      <c r="L141" s="2479"/>
      <c r="M141" s="2479"/>
      <c r="N141" s="2482"/>
      <c r="O141" s="2479"/>
      <c r="P141" s="1785"/>
      <c r="Q141" s="1638"/>
      <c r="R141" s="1638"/>
      <c r="S141" s="670"/>
      <c r="T141" s="670"/>
      <c r="U141" s="670"/>
      <c r="V141" s="670"/>
      <c r="W141" s="1639"/>
      <c r="X141" s="1600"/>
      <c r="Y141" s="1600"/>
      <c r="Z141" s="1600"/>
      <c r="AA141" s="1600"/>
      <c r="AB141" s="1600"/>
      <c r="AC141" s="1600"/>
      <c r="AD141" s="1600"/>
      <c r="AE141" s="1600"/>
      <c r="AF141" s="1600"/>
      <c r="AG141" s="1600"/>
      <c r="AH141" s="1600"/>
      <c r="AI141" s="1600"/>
      <c r="AJ141" s="1600"/>
      <c r="AK141" s="1600"/>
      <c r="AL141" s="1600"/>
      <c r="AM141" s="1600"/>
      <c r="AN141" s="1600"/>
      <c r="AO141" s="1600"/>
      <c r="AP141" s="1600"/>
      <c r="AQ141" s="1600"/>
      <c r="AR141" s="1691">
        <v>0</v>
      </c>
    </row>
    <row s="21825" customFormat="1" customHeight="1" ht="17.25">
      <c r="A142" s="662"/>
      <c r="C142" s="661"/>
      <c r="D142" s="2477"/>
      <c r="E142" s="2485"/>
      <c r="F142" s="2487"/>
      <c r="G142" s="2485"/>
      <c r="H142" s="2490"/>
      <c r="I142" s="2492"/>
      <c r="J142" s="2495"/>
      <c r="K142" s="2479"/>
      <c r="L142" s="1638"/>
      <c r="M142" s="1638"/>
      <c r="N142" s="1638"/>
      <c r="O142" s="1638"/>
      <c r="P142" s="1638"/>
      <c r="Q142" s="1638"/>
      <c r="R142" s="1638"/>
      <c r="S142" s="670"/>
      <c r="T142" s="670"/>
      <c r="U142" s="670"/>
      <c r="V142" s="670"/>
      <c r="W142" s="1639"/>
      <c r="X142" s="1600"/>
      <c r="Y142" s="1600"/>
      <c r="Z142" s="1600"/>
      <c r="AA142" s="1600"/>
      <c r="AB142" s="1600"/>
      <c r="AC142" s="1600"/>
      <c r="AD142" s="1600"/>
      <c r="AE142" s="1600"/>
      <c r="AF142" s="1600"/>
      <c r="AG142" s="1600"/>
      <c r="AH142" s="1600"/>
      <c r="AI142" s="1600"/>
      <c r="AJ142" s="1600"/>
      <c r="AK142" s="1600"/>
      <c r="AL142" s="1600"/>
      <c r="AM142" s="1600"/>
      <c r="AN142" s="1600"/>
      <c r="AO142" s="1600"/>
      <c r="AP142" s="1600"/>
      <c r="AQ142" s="1600"/>
      <c r="AR142" s="1691">
        <v>0</v>
      </c>
    </row>
    <row s="21825" customFormat="1" customHeight="1" ht="17.25">
      <c r="A143" s="662"/>
      <c r="C143" s="661"/>
      <c r="D143" s="2477"/>
      <c r="E143" s="2485"/>
      <c r="F143" s="2488"/>
      <c r="G143" s="2485"/>
      <c r="H143" s="1640"/>
      <c r="I143" s="1641"/>
      <c r="J143" s="1641"/>
      <c r="K143" s="1641"/>
      <c r="L143" s="1641"/>
      <c r="M143" s="1641"/>
      <c r="N143" s="1641"/>
      <c r="O143" s="1641"/>
      <c r="P143" s="1641"/>
      <c r="Q143" s="1641"/>
      <c r="R143" s="1641"/>
      <c r="S143" s="1642"/>
      <c r="T143" s="1642"/>
      <c r="U143" s="1642"/>
      <c r="V143" s="1642"/>
      <c r="W143" s="1643"/>
      <c r="X143" s="1600"/>
      <c r="Y143" s="1600"/>
      <c r="Z143" s="1600"/>
      <c r="AA143" s="1600"/>
      <c r="AB143" s="1600"/>
      <c r="AC143" s="1600"/>
      <c r="AD143" s="1600"/>
      <c r="AE143" s="1600"/>
      <c r="AF143" s="1600"/>
      <c r="AG143" s="1600"/>
      <c r="AH143" s="1600"/>
      <c r="AI143" s="1600"/>
      <c r="AJ143" s="1600"/>
      <c r="AK143" s="1600"/>
      <c r="AL143" s="1600"/>
      <c r="AM143" s="1600"/>
      <c r="AN143" s="1600"/>
      <c r="AO143" s="1600"/>
      <c r="AP143" s="1600"/>
      <c r="AQ143" s="1600"/>
      <c r="AR143" s="1691">
        <v>0</v>
      </c>
    </row>
    <row s="21825" customFormat="1" customHeight="1" ht="17.25">
      <c r="A144" s="662"/>
      <c r="C144" s="550"/>
      <c r="D144" s="2476">
        <v>4</v>
      </c>
      <c r="E144" s="2484" t="s">
        <v>353</v>
      </c>
      <c r="F144" s="2486" t="s">
        <v>19</v>
      </c>
      <c r="G144" s="2484"/>
      <c r="H144" s="2489"/>
      <c r="I144" s="2491"/>
      <c r="J144" s="2493"/>
      <c r="K144" s="2478"/>
      <c r="L144" s="2478"/>
      <c r="M144" s="2478"/>
      <c r="N144" s="2480"/>
      <c r="O144" s="2478"/>
      <c r="P144" s="2478"/>
      <c r="Q144" s="2478"/>
      <c r="R144" s="2483"/>
      <c r="S144" s="2478"/>
      <c r="T144" s="1784"/>
      <c r="U144" s="1784"/>
      <c r="V144" s="1786"/>
      <c r="W144" s="1637"/>
      <c r="X144" s="1608"/>
      <c r="Y144" s="1608"/>
      <c r="Z144" s="1608"/>
      <c r="AA144" s="1608"/>
      <c r="AB144" s="1608"/>
      <c r="AC144" s="1608" t="s">
        <v>354</v>
      </c>
      <c r="AD144" s="1608" t="s">
        <v>355</v>
      </c>
      <c r="AE144" s="1608" t="s">
        <v>356</v>
      </c>
      <c r="AF144" s="1608" t="s">
        <v>357</v>
      </c>
      <c r="AG144" s="1608"/>
      <c r="AH144" s="1608" t="str">
        <f>IF($E$144=0,"",$E$144)</f>
        <v>Тариф на подвоз воды</v>
      </c>
      <c r="AI144" s="1608" t="str">
        <f>IF($G$144=0,"",$G$144)</f>
        <v/>
      </c>
      <c r="AJ144" s="1608" t="str">
        <f>IF($J$144=0,"",$J$144)</f>
        <v/>
      </c>
      <c r="AK144" s="1608" t="str">
        <f>IF($K$144="нет","без дифференциации",IF($N$144=0,"",$N$144))</f>
        <v/>
      </c>
      <c r="AL144" s="1608" t="str">
        <f>IF($O$144="нет","без дифференциации",IF($R$144=0,"",$R$144))</f>
        <v/>
      </c>
      <c r="AM144" s="1608" t="str">
        <f>IF($S$144="нет","без дифференциации",IF($V$144=0,"",$V$144))</f>
        <v/>
      </c>
      <c r="AN144" s="2113">
        <f>$I$144</f>
        <v>0</v>
      </c>
      <c r="AO144" s="1608" t="str">
        <f>$I$144&amp;"."&amp;$M$144</f>
        <v>.</v>
      </c>
      <c r="AP144" s="1600" t="str">
        <f>$I$144&amp;"."&amp;$M$144&amp;"."&amp;$Q$144</f>
        <v>..</v>
      </c>
      <c r="AQ144" s="1600" t="str">
        <f>$I$144&amp;"."&amp;$M$144&amp;"."&amp;$Q$144&amp;"."&amp;$U$144</f>
        <v>...</v>
      </c>
      <c r="AR144" s="1691">
        <v>0</v>
      </c>
    </row>
    <row s="21825" customFormat="1" customHeight="1" ht="17.25">
      <c r="A145" s="662"/>
      <c r="C145" s="661"/>
      <c r="D145" s="2476"/>
      <c r="E145" s="2484"/>
      <c r="F145" s="2487"/>
      <c r="G145" s="2484"/>
      <c r="H145" s="2490"/>
      <c r="I145" s="2492"/>
      <c r="J145" s="2494"/>
      <c r="K145" s="2479"/>
      <c r="L145" s="2479"/>
      <c r="M145" s="2479"/>
      <c r="N145" s="2481"/>
      <c r="O145" s="2479"/>
      <c r="P145" s="2479"/>
      <c r="Q145" s="2479"/>
      <c r="R145" s="2482"/>
      <c r="S145" s="2479"/>
      <c r="T145" s="1638"/>
      <c r="U145" s="1638"/>
      <c r="V145" s="1638"/>
      <c r="W145" s="1639"/>
      <c r="X145" s="1600"/>
      <c r="Y145" s="1600"/>
      <c r="Z145" s="1600"/>
      <c r="AA145" s="1600"/>
      <c r="AB145" s="1600"/>
      <c r="AC145" s="1600"/>
      <c r="AD145" s="1600"/>
      <c r="AE145" s="1600"/>
      <c r="AF145" s="1600"/>
      <c r="AG145" s="1600"/>
      <c r="AH145" s="1600"/>
      <c r="AI145" s="1600"/>
      <c r="AJ145" s="1600"/>
      <c r="AK145" s="1600"/>
      <c r="AL145" s="1600"/>
      <c r="AM145" s="1600"/>
      <c r="AN145" s="1600"/>
      <c r="AO145" s="1600"/>
      <c r="AP145" s="1600"/>
      <c r="AQ145" s="1600"/>
      <c r="AR145" s="1691">
        <v>0</v>
      </c>
    </row>
    <row s="21825" customFormat="1" customHeight="1" ht="17.25">
      <c r="A146" s="662"/>
      <c r="C146" s="661"/>
      <c r="D146" s="2477"/>
      <c r="E146" s="2485"/>
      <c r="F146" s="2487"/>
      <c r="G146" s="2485"/>
      <c r="H146" s="2490"/>
      <c r="I146" s="2492"/>
      <c r="J146" s="2495"/>
      <c r="K146" s="2479"/>
      <c r="L146" s="2479"/>
      <c r="M146" s="2479"/>
      <c r="N146" s="2482"/>
      <c r="O146" s="2479"/>
      <c r="P146" s="1785"/>
      <c r="Q146" s="1638"/>
      <c r="R146" s="1638"/>
      <c r="S146" s="670"/>
      <c r="T146" s="670"/>
      <c r="U146" s="670"/>
      <c r="V146" s="670"/>
      <c r="W146" s="1639"/>
      <c r="X146" s="1600"/>
      <c r="Y146" s="1600"/>
      <c r="Z146" s="1600"/>
      <c r="AA146" s="1600"/>
      <c r="AB146" s="1600"/>
      <c r="AC146" s="1600"/>
      <c r="AD146" s="1600"/>
      <c r="AE146" s="1600"/>
      <c r="AF146" s="1600"/>
      <c r="AG146" s="1600"/>
      <c r="AH146" s="1600"/>
      <c r="AI146" s="1600"/>
      <c r="AJ146" s="1600"/>
      <c r="AK146" s="1600"/>
      <c r="AL146" s="1600"/>
      <c r="AM146" s="1600"/>
      <c r="AN146" s="1600"/>
      <c r="AO146" s="1600"/>
      <c r="AP146" s="1600"/>
      <c r="AQ146" s="1600"/>
      <c r="AR146" s="1691">
        <v>0</v>
      </c>
    </row>
    <row s="21825" customFormat="1" customHeight="1" ht="17.25">
      <c r="A147" s="662"/>
      <c r="C147" s="661"/>
      <c r="D147" s="2477"/>
      <c r="E147" s="2485"/>
      <c r="F147" s="2487"/>
      <c r="G147" s="2485"/>
      <c r="H147" s="2490"/>
      <c r="I147" s="2492"/>
      <c r="J147" s="2495"/>
      <c r="K147" s="2479"/>
      <c r="L147" s="1638"/>
      <c r="M147" s="1638"/>
      <c r="N147" s="1638"/>
      <c r="O147" s="1638"/>
      <c r="P147" s="1638"/>
      <c r="Q147" s="1638"/>
      <c r="R147" s="1638"/>
      <c r="S147" s="670"/>
      <c r="T147" s="670"/>
      <c r="U147" s="670"/>
      <c r="V147" s="670"/>
      <c r="W147" s="1639"/>
      <c r="X147" s="1600"/>
      <c r="Y147" s="1600"/>
      <c r="Z147" s="1600"/>
      <c r="AA147" s="1600"/>
      <c r="AB147" s="1600"/>
      <c r="AC147" s="1600"/>
      <c r="AD147" s="1600"/>
      <c r="AE147" s="1600"/>
      <c r="AF147" s="1600"/>
      <c r="AG147" s="1600"/>
      <c r="AH147" s="1600"/>
      <c r="AI147" s="1600"/>
      <c r="AJ147" s="1600"/>
      <c r="AK147" s="1600"/>
      <c r="AL147" s="1600"/>
      <c r="AM147" s="1600"/>
      <c r="AN147" s="1600"/>
      <c r="AO147" s="1600"/>
      <c r="AP147" s="1600"/>
      <c r="AQ147" s="1600"/>
      <c r="AR147" s="1691">
        <v>0</v>
      </c>
    </row>
    <row s="21825" customFormat="1" customHeight="1" ht="17.25">
      <c r="A148" s="662"/>
      <c r="C148" s="661"/>
      <c r="D148" s="2477"/>
      <c r="E148" s="2485"/>
      <c r="F148" s="2488"/>
      <c r="G148" s="2485"/>
      <c r="H148" s="1640"/>
      <c r="I148" s="1641"/>
      <c r="J148" s="1641"/>
      <c r="K148" s="1641"/>
      <c r="L148" s="1641"/>
      <c r="M148" s="1641"/>
      <c r="N148" s="1641"/>
      <c r="O148" s="1641"/>
      <c r="P148" s="1641"/>
      <c r="Q148" s="1641"/>
      <c r="R148" s="1641"/>
      <c r="S148" s="1642"/>
      <c r="T148" s="1642"/>
      <c r="U148" s="1642"/>
      <c r="V148" s="1642"/>
      <c r="W148" s="1643"/>
      <c r="X148" s="1600"/>
      <c r="Y148" s="1600"/>
      <c r="Z148" s="1600"/>
      <c r="AA148" s="1600"/>
      <c r="AB148" s="1600"/>
      <c r="AC148" s="1600"/>
      <c r="AD148" s="1600"/>
      <c r="AE148" s="1600"/>
      <c r="AF148" s="1600"/>
      <c r="AG148" s="1600"/>
      <c r="AH148" s="1600"/>
      <c r="AI148" s="1600"/>
      <c r="AJ148" s="1600"/>
      <c r="AK148" s="1600"/>
      <c r="AL148" s="1600"/>
      <c r="AM148" s="1600"/>
      <c r="AN148" s="1600"/>
      <c r="AO148" s="1600"/>
      <c r="AP148" s="1600"/>
      <c r="AQ148" s="1600"/>
      <c r="AR148" s="1691">
        <v>0</v>
      </c>
    </row>
    <row s="21825" customFormat="1" customHeight="1" ht="17.25">
      <c r="A149" s="662"/>
      <c r="C149" s="550"/>
      <c r="D149" s="2476">
        <v>5</v>
      </c>
      <c r="E149" s="2484" t="s">
        <v>358</v>
      </c>
      <c r="F149" s="2486" t="s">
        <v>19</v>
      </c>
      <c r="G149" s="2484"/>
      <c r="H149" s="2489"/>
      <c r="I149" s="2491"/>
      <c r="J149" s="2493"/>
      <c r="K149" s="2478"/>
      <c r="L149" s="2478"/>
      <c r="M149" s="2478"/>
      <c r="N149" s="2480"/>
      <c r="O149" s="2478"/>
      <c r="P149" s="2478"/>
      <c r="Q149" s="2478"/>
      <c r="R149" s="2483"/>
      <c r="S149" s="2478"/>
      <c r="T149" s="2284"/>
      <c r="U149" s="2284"/>
      <c r="V149" s="2286"/>
      <c r="W149" s="1637"/>
      <c r="X149" s="1608"/>
      <c r="Y149" s="1608"/>
      <c r="Z149" s="1608"/>
      <c r="AA149" s="1608"/>
      <c r="AB149" s="1608"/>
      <c r="AC149" s="1608" t="s">
        <v>359</v>
      </c>
      <c r="AD149" s="1608" t="s">
        <v>360</v>
      </c>
      <c r="AE149" s="1608" t="s">
        <v>361</v>
      </c>
      <c r="AF149" s="1608" t="s">
        <v>362</v>
      </c>
      <c r="AG149" s="1608"/>
      <c r="AH149" s="1608" t="str">
        <f>IF($E$149=0,"",$E$149)</f>
        <v>Тариф на подключение (технологическое присоединение) к централизованной системе холодного водоснабжения</v>
      </c>
      <c r="AI149" s="1608" t="str">
        <f>IF($G$149=0,"",$G$149)</f>
        <v/>
      </c>
      <c r="AJ149" s="1608" t="str">
        <f>IF($J$149=0,"",$J$149)</f>
        <v/>
      </c>
      <c r="AK149" s="1608" t="str">
        <f>IF($K$149="нет","без дифференциации",IF($N$149=0,"",$N$149))</f>
        <v/>
      </c>
      <c r="AL149" s="1608" t="str">
        <f>IF($O$149="нет","без дифференциации",IF($R$149=0,"",$R$149))</f>
        <v/>
      </c>
      <c r="AM149" s="1608" t="str">
        <f>IF($S$149="нет","без дифференциации",IF($V$149=0,"",$V$149))</f>
        <v/>
      </c>
      <c r="AN149" s="2113">
        <f>$I$149</f>
        <v>0</v>
      </c>
      <c r="AO149" s="1608" t="str">
        <f>$I$149&amp;"."&amp;$M$149</f>
        <v>.</v>
      </c>
      <c r="AP149" s="1607" t="str">
        <f>$I$149&amp;"."&amp;$M$149&amp;"."&amp;$Q$149</f>
        <v>..</v>
      </c>
      <c r="AQ149" s="1607" t="str">
        <f>$I$149&amp;"."&amp;$M$149&amp;"."&amp;$Q$149&amp;"."&amp;$U$149</f>
        <v>...</v>
      </c>
      <c r="AR149" s="1808">
        <v>0</v>
      </c>
    </row>
    <row s="21825" customFormat="1" customHeight="1" ht="17.25">
      <c r="A150" s="662"/>
      <c r="C150" s="661"/>
      <c r="D150" s="2476"/>
      <c r="E150" s="2484"/>
      <c r="F150" s="2487"/>
      <c r="G150" s="2484"/>
      <c r="H150" s="2490"/>
      <c r="I150" s="2492"/>
      <c r="J150" s="2494"/>
      <c r="K150" s="2479"/>
      <c r="L150" s="2479"/>
      <c r="M150" s="2479"/>
      <c r="N150" s="2481"/>
      <c r="O150" s="2479"/>
      <c r="P150" s="2479"/>
      <c r="Q150" s="2479"/>
      <c r="R150" s="2482"/>
      <c r="S150" s="2479"/>
      <c r="T150" s="2289"/>
      <c r="U150" s="2289"/>
      <c r="V150" s="2289"/>
      <c r="W150" s="2290"/>
      <c r="X150" s="1607"/>
      <c r="Y150" s="1607"/>
      <c r="Z150" s="1607"/>
      <c r="AA150" s="1607"/>
      <c r="AB150" s="1607"/>
      <c r="AC150" s="1607"/>
      <c r="AD150" s="1607"/>
      <c r="AE150" s="1607"/>
      <c r="AF150" s="1607"/>
      <c r="AG150" s="1607"/>
      <c r="AH150" s="1607"/>
      <c r="AI150" s="1607"/>
      <c r="AJ150" s="1607"/>
      <c r="AK150" s="1607"/>
      <c r="AL150" s="1607"/>
      <c r="AM150" s="1607"/>
      <c r="AN150" s="1607"/>
      <c r="AO150" s="1607"/>
      <c r="AP150" s="1607"/>
      <c r="AQ150" s="1607"/>
      <c r="AR150" s="1808">
        <v>0</v>
      </c>
    </row>
    <row s="21825" customFormat="1" customHeight="1" ht="17.25">
      <c r="A151" s="662"/>
      <c r="C151" s="661"/>
      <c r="D151" s="2477"/>
      <c r="E151" s="2485"/>
      <c r="F151" s="2487"/>
      <c r="G151" s="2485"/>
      <c r="H151" s="2490"/>
      <c r="I151" s="2492"/>
      <c r="J151" s="2495"/>
      <c r="K151" s="2479"/>
      <c r="L151" s="2479"/>
      <c r="M151" s="2479"/>
      <c r="N151" s="2482"/>
      <c r="O151" s="2479"/>
      <c r="P151" s="2285"/>
      <c r="Q151" s="2289"/>
      <c r="R151" s="2289"/>
      <c r="S151" s="670"/>
      <c r="T151" s="670"/>
      <c r="U151" s="670"/>
      <c r="V151" s="670"/>
      <c r="W151" s="2290"/>
      <c r="X151" s="1607"/>
      <c r="Y151" s="1607"/>
      <c r="Z151" s="1607"/>
      <c r="AA151" s="1607"/>
      <c r="AB151" s="1607"/>
      <c r="AC151" s="1607"/>
      <c r="AD151" s="1607"/>
      <c r="AE151" s="1607"/>
      <c r="AF151" s="1607"/>
      <c r="AG151" s="1607"/>
      <c r="AH151" s="1607"/>
      <c r="AI151" s="1607"/>
      <c r="AJ151" s="1607"/>
      <c r="AK151" s="1607"/>
      <c r="AL151" s="1607"/>
      <c r="AM151" s="1607"/>
      <c r="AN151" s="1607"/>
      <c r="AO151" s="1607"/>
      <c r="AP151" s="1607"/>
      <c r="AQ151" s="1607"/>
      <c r="AR151" s="1808">
        <v>0</v>
      </c>
    </row>
    <row s="21825" customFormat="1" customHeight="1" ht="17.25">
      <c r="A152" s="662"/>
      <c r="C152" s="661"/>
      <c r="D152" s="2477"/>
      <c r="E152" s="2485"/>
      <c r="F152" s="2487"/>
      <c r="G152" s="2485"/>
      <c r="H152" s="2490"/>
      <c r="I152" s="2492"/>
      <c r="J152" s="2495"/>
      <c r="K152" s="2479"/>
      <c r="L152" s="2289"/>
      <c r="M152" s="2289"/>
      <c r="N152" s="2289"/>
      <c r="O152" s="2289"/>
      <c r="P152" s="2289"/>
      <c r="Q152" s="2289"/>
      <c r="R152" s="2289"/>
      <c r="S152" s="670"/>
      <c r="T152" s="670"/>
      <c r="U152" s="670"/>
      <c r="V152" s="670"/>
      <c r="W152" s="2290"/>
      <c r="X152" s="1607"/>
      <c r="Y152" s="1607"/>
      <c r="Z152" s="1607"/>
      <c r="AA152" s="1607"/>
      <c r="AB152" s="1607"/>
      <c r="AC152" s="1607"/>
      <c r="AD152" s="1607"/>
      <c r="AE152" s="1607"/>
      <c r="AF152" s="1607"/>
      <c r="AG152" s="1607"/>
      <c r="AH152" s="1607"/>
      <c r="AI152" s="1607"/>
      <c r="AJ152" s="1607"/>
      <c r="AK152" s="1607"/>
      <c r="AL152" s="1607"/>
      <c r="AM152" s="1607"/>
      <c r="AN152" s="1607"/>
      <c r="AO152" s="1607"/>
      <c r="AP152" s="1607"/>
      <c r="AQ152" s="1607"/>
      <c r="AR152" s="1808">
        <v>0</v>
      </c>
    </row>
    <row s="21825" customFormat="1" customHeight="1" ht="17.25">
      <c r="A153" s="662"/>
      <c r="C153" s="661"/>
      <c r="D153" s="2477"/>
      <c r="E153" s="2485"/>
      <c r="F153" s="2488"/>
      <c r="G153" s="2485"/>
      <c r="H153" s="1640"/>
      <c r="I153" s="2287"/>
      <c r="J153" s="2287"/>
      <c r="K153" s="2287"/>
      <c r="L153" s="2287"/>
      <c r="M153" s="2287"/>
      <c r="N153" s="2287"/>
      <c r="O153" s="2287"/>
      <c r="P153" s="2287"/>
      <c r="Q153" s="2287"/>
      <c r="R153" s="2287"/>
      <c r="S153" s="1642"/>
      <c r="T153" s="1642"/>
      <c r="U153" s="1642"/>
      <c r="V153" s="1642"/>
      <c r="W153" s="2288"/>
      <c r="X153" s="1607"/>
      <c r="Y153" s="1607"/>
      <c r="Z153" s="1607"/>
      <c r="AA153" s="1607"/>
      <c r="AB153" s="1607"/>
      <c r="AC153" s="1607"/>
      <c r="AD153" s="1607"/>
      <c r="AE153" s="1607"/>
      <c r="AF153" s="1607"/>
      <c r="AG153" s="1607"/>
      <c r="AH153" s="1607"/>
      <c r="AI153" s="1607"/>
      <c r="AJ153" s="1607"/>
      <c r="AK153" s="1607"/>
      <c r="AL153" s="1607"/>
      <c r="AM153" s="1607"/>
      <c r="AN153" s="1607"/>
      <c r="AO153" s="1607"/>
      <c r="AP153" s="1607"/>
      <c r="AQ153" s="1607"/>
      <c r="AR153" s="1808">
        <v>0</v>
      </c>
    </row>
    <row s="21825" customFormat="1" customHeight="1" ht="11.25" hidden="1">
      <c r="A154" s="618"/>
      <c r="B154" s="618"/>
      <c r="Y154" s="1600"/>
      <c r="Z154" s="1600"/>
      <c r="AA154" s="1600"/>
      <c r="AB154" s="1600"/>
      <c r="AC154" s="1600"/>
      <c r="AD154" s="1600"/>
      <c r="AE154" s="1600"/>
      <c r="AF154" s="1600"/>
      <c r="AG154" s="1600"/>
      <c r="AH154" s="1600"/>
      <c r="AI154" s="1600"/>
      <c r="AJ154" s="1600"/>
      <c r="AK154" s="1600"/>
      <c r="AL154" s="1600"/>
      <c r="AM154" s="1600"/>
      <c r="AN154" s="1600"/>
      <c r="AO154" s="1600"/>
      <c r="AP154" s="1600"/>
      <c r="AQ154" s="1600"/>
      <c r="AR154" s="1808">
        <v>0</v>
      </c>
    </row>
    <row s="21825" customFormat="1" customHeight="1" ht="17.25" hidden="1">
      <c r="A155" s="662"/>
      <c r="C155" s="550"/>
      <c r="D155" s="2476">
        <v>1</v>
      </c>
      <c r="E155" s="2484" t="s">
        <v>363</v>
      </c>
      <c r="F155" s="2486" t="s">
        <v>19</v>
      </c>
      <c r="G155" s="2484"/>
      <c r="H155" s="2489"/>
      <c r="I155" s="2491"/>
      <c r="J155" s="2493"/>
      <c r="K155" s="2478"/>
      <c r="L155" s="2478"/>
      <c r="M155" s="2478"/>
      <c r="N155" s="2480"/>
      <c r="O155" s="2478"/>
      <c r="P155" s="2478"/>
      <c r="Q155" s="2478"/>
      <c r="R155" s="2483"/>
      <c r="S155" s="2478"/>
      <c r="T155" s="1811"/>
      <c r="U155" s="1811"/>
      <c r="V155" s="1813"/>
      <c r="W155" s="1637"/>
      <c r="Y155" s="1608"/>
      <c r="Z155" s="1608"/>
      <c r="AA155" s="1608"/>
      <c r="AB155" s="1608"/>
      <c r="AC155" s="1608" t="s">
        <v>364</v>
      </c>
      <c r="AD155" s="1608" t="s">
        <v>365</v>
      </c>
      <c r="AE155" s="1608" t="s">
        <v>366</v>
      </c>
      <c r="AF155" s="1608" t="s">
        <v>367</v>
      </c>
      <c r="AG155" s="1608"/>
      <c r="AH155" s="1608" t="str">
        <f>IF($E$155=0,"",$E$155)</f>
        <v>Тариф на горячую воду (горячее водоснабжение)</v>
      </c>
      <c r="AI155" s="1608" t="str">
        <f>IF($G$155=0,"",$G$155)</f>
        <v/>
      </c>
      <c r="AJ155" s="1608" t="str">
        <f>IF($J$155=0,"",$J$155)</f>
        <v/>
      </c>
      <c r="AK155" s="1608" t="str">
        <f>IF($K$155="нет","без дифференциации",IF($N$155=0,"",$N$155))</f>
        <v/>
      </c>
      <c r="AL155" s="1608" t="str">
        <f>IF($O$155="нет","без дифференциации",IF($R$155=0,"",$R$155))</f>
        <v/>
      </c>
      <c r="AM155" s="1608" t="str">
        <f>IF($S$155="нет","без дифференциации",IF($V$155=0,"",$V$155))</f>
        <v/>
      </c>
      <c r="AN155" s="1608">
        <f>$I$155</f>
        <v>0</v>
      </c>
      <c r="AO155" s="1608" t="str">
        <f>$I$155&amp;"."&amp;$M$155</f>
        <v>.</v>
      </c>
      <c r="AP155" s="1608" t="str">
        <f>$I$155&amp;"."&amp;$M$155&amp;"."&amp;$Q$155</f>
        <v>..</v>
      </c>
      <c r="AQ155" s="1608" t="str">
        <f>$I$155&amp;"."&amp;$M$155&amp;"."&amp;$Q$155&amp;"."&amp;$U$155</f>
        <v>...</v>
      </c>
      <c r="AR155" s="1808">
        <v>0</v>
      </c>
    </row>
    <row s="21825" customFormat="1" customHeight="1" ht="17.25" hidden="1">
      <c r="A156" s="662"/>
      <c r="C156" s="661"/>
      <c r="D156" s="2476"/>
      <c r="E156" s="2484"/>
      <c r="F156" s="2487"/>
      <c r="G156" s="2484"/>
      <c r="H156" s="2490"/>
      <c r="I156" s="2492"/>
      <c r="J156" s="2494"/>
      <c r="K156" s="2479"/>
      <c r="L156" s="2479"/>
      <c r="M156" s="2479"/>
      <c r="N156" s="2481"/>
      <c r="O156" s="2479"/>
      <c r="P156" s="2479"/>
      <c r="Q156" s="2479"/>
      <c r="R156" s="2482"/>
      <c r="S156" s="2479"/>
      <c r="T156" s="1638"/>
      <c r="U156" s="1638"/>
      <c r="V156" s="1638"/>
      <c r="W156" s="1639"/>
      <c r="Y156" s="1600"/>
      <c r="Z156" s="1600"/>
      <c r="AA156" s="1600"/>
      <c r="AB156" s="1600"/>
      <c r="AC156" s="1600"/>
      <c r="AD156" s="1600"/>
      <c r="AE156" s="1600"/>
      <c r="AF156" s="1600"/>
      <c r="AG156" s="1600"/>
      <c r="AH156" s="1600"/>
      <c r="AI156" s="1600"/>
      <c r="AJ156" s="1600"/>
      <c r="AK156" s="1600"/>
      <c r="AL156" s="1600"/>
      <c r="AM156" s="1600"/>
      <c r="AN156" s="1600"/>
      <c r="AO156" s="1600"/>
      <c r="AP156" s="1600"/>
      <c r="AQ156" s="1600"/>
      <c r="AR156" s="1808">
        <v>0</v>
      </c>
    </row>
    <row s="21825" customFormat="1" customHeight="1" ht="17.25" hidden="1">
      <c r="A157" s="662"/>
      <c r="C157" s="550"/>
      <c r="D157" s="2476"/>
      <c r="E157" s="2484"/>
      <c r="F157" s="2487"/>
      <c r="G157" s="2484"/>
      <c r="H157" s="2490"/>
      <c r="I157" s="2492"/>
      <c r="J157" s="2495"/>
      <c r="K157" s="2479"/>
      <c r="L157" s="2479"/>
      <c r="M157" s="2479"/>
      <c r="N157" s="2482"/>
      <c r="O157" s="2479"/>
      <c r="P157" s="1812"/>
      <c r="Q157" s="1638"/>
      <c r="R157" s="1638"/>
      <c r="S157" s="670"/>
      <c r="T157" s="670"/>
      <c r="U157" s="670"/>
      <c r="V157" s="670"/>
      <c r="W157" s="1639"/>
      <c r="Y157" s="1608"/>
      <c r="Z157" s="1608"/>
      <c r="AA157" s="1608"/>
      <c r="AB157" s="1608"/>
      <c r="AC157" s="1608"/>
      <c r="AD157" s="1608"/>
      <c r="AE157" s="1608"/>
      <c r="AF157" s="1608"/>
      <c r="AG157" s="1608"/>
      <c r="AH157" s="1608"/>
      <c r="AI157" s="1608"/>
      <c r="AJ157" s="1608"/>
      <c r="AK157" s="1608"/>
      <c r="AL157" s="1608"/>
      <c r="AM157" s="1608"/>
      <c r="AN157" s="1608"/>
      <c r="AO157" s="1608"/>
      <c r="AP157" s="1608"/>
      <c r="AQ157" s="1608"/>
      <c r="AR157" s="1808">
        <v>0</v>
      </c>
    </row>
    <row s="21825" customFormat="1" customHeight="1" ht="17.25" hidden="1">
      <c r="A158" s="662"/>
      <c r="C158" s="661"/>
      <c r="D158" s="2476"/>
      <c r="E158" s="2484"/>
      <c r="F158" s="2487"/>
      <c r="G158" s="2484"/>
      <c r="H158" s="2490"/>
      <c r="I158" s="2492"/>
      <c r="J158" s="2495"/>
      <c r="K158" s="2479"/>
      <c r="L158" s="1638"/>
      <c r="M158" s="1638"/>
      <c r="N158" s="1638"/>
      <c r="O158" s="1638"/>
      <c r="P158" s="1638"/>
      <c r="Q158" s="1638"/>
      <c r="R158" s="1638"/>
      <c r="S158" s="670"/>
      <c r="T158" s="670"/>
      <c r="U158" s="670"/>
      <c r="V158" s="670"/>
      <c r="W158" s="1639"/>
      <c r="Y158" s="1600"/>
      <c r="Z158" s="1600"/>
      <c r="AA158" s="1600"/>
      <c r="AB158" s="1600"/>
      <c r="AC158" s="1600"/>
      <c r="AD158" s="1600"/>
      <c r="AE158" s="1600"/>
      <c r="AF158" s="1600"/>
      <c r="AG158" s="1600"/>
      <c r="AH158" s="1600"/>
      <c r="AI158" s="1600"/>
      <c r="AJ158" s="1600"/>
      <c r="AK158" s="1600"/>
      <c r="AL158" s="1600"/>
      <c r="AM158" s="1600"/>
      <c r="AN158" s="1600"/>
      <c r="AO158" s="1600"/>
      <c r="AP158" s="1600"/>
      <c r="AQ158" s="1600"/>
      <c r="AR158" s="1808">
        <v>0</v>
      </c>
    </row>
    <row s="21825" customFormat="1" customHeight="1" ht="17.25" hidden="1">
      <c r="A159" s="662"/>
      <c r="C159" s="661"/>
      <c r="D159" s="2477"/>
      <c r="E159" s="2485"/>
      <c r="F159" s="2488"/>
      <c r="G159" s="2485"/>
      <c r="H159" s="1640"/>
      <c r="I159" s="1641"/>
      <c r="J159" s="1641"/>
      <c r="K159" s="1641"/>
      <c r="L159" s="1641"/>
      <c r="M159" s="1641"/>
      <c r="N159" s="1641"/>
      <c r="O159" s="1641"/>
      <c r="P159" s="1641"/>
      <c r="Q159" s="1641"/>
      <c r="R159" s="1641"/>
      <c r="S159" s="1642"/>
      <c r="T159" s="1642"/>
      <c r="U159" s="1642"/>
      <c r="V159" s="1642"/>
      <c r="W159" s="1643"/>
      <c r="Y159" s="1600"/>
      <c r="Z159" s="1600"/>
      <c r="AA159" s="1600"/>
      <c r="AB159" s="1600"/>
      <c r="AC159" s="1600"/>
      <c r="AD159" s="1600"/>
      <c r="AE159" s="1600"/>
      <c r="AF159" s="1600"/>
      <c r="AG159" s="1600"/>
      <c r="AH159" s="1600"/>
      <c r="AI159" s="1600"/>
      <c r="AJ159" s="1600"/>
      <c r="AK159" s="1600"/>
      <c r="AL159" s="1600"/>
      <c r="AM159" s="1600"/>
      <c r="AN159" s="1600"/>
      <c r="AO159" s="1600"/>
      <c r="AP159" s="1600"/>
      <c r="AQ159" s="1600"/>
      <c r="AR159" s="1808">
        <v>0</v>
      </c>
    </row>
    <row s="21825" customFormat="1" customHeight="1" ht="17.25" hidden="1">
      <c r="A160" s="662"/>
      <c r="C160" s="550"/>
      <c r="D160" s="2476">
        <v>2</v>
      </c>
      <c r="E160" s="2484" t="s">
        <v>368</v>
      </c>
      <c r="F160" s="2486" t="s">
        <v>19</v>
      </c>
      <c r="G160" s="2484"/>
      <c r="H160" s="2489"/>
      <c r="I160" s="2491"/>
      <c r="J160" s="2493"/>
      <c r="K160" s="2478"/>
      <c r="L160" s="2478"/>
      <c r="M160" s="2478"/>
      <c r="N160" s="2480"/>
      <c r="O160" s="2478"/>
      <c r="P160" s="2478"/>
      <c r="Q160" s="2478"/>
      <c r="R160" s="2483"/>
      <c r="S160" s="2478"/>
      <c r="T160" s="1811"/>
      <c r="U160" s="1811"/>
      <c r="V160" s="1813"/>
      <c r="W160" s="1637"/>
      <c r="X160" s="1608"/>
      <c r="Y160" s="1608"/>
      <c r="Z160" s="1608"/>
      <c r="AA160" s="1608"/>
      <c r="AB160" s="1608"/>
      <c r="AC160" s="1608" t="s">
        <v>369</v>
      </c>
      <c r="AD160" s="1608" t="s">
        <v>370</v>
      </c>
      <c r="AE160" s="1608" t="s">
        <v>371</v>
      </c>
      <c r="AF160" s="1608" t="s">
        <v>372</v>
      </c>
      <c r="AG160" s="1608"/>
      <c r="AH160" s="1608" t="str">
        <f>IF($E$160=0,"",$E$160)</f>
        <v>Тариф на транспортировку горячей воды</v>
      </c>
      <c r="AI160" s="1608" t="str">
        <f>IF($G$160=0,"",$G$160)</f>
        <v/>
      </c>
      <c r="AJ160" s="1608" t="str">
        <f>IF($J$160=0,"",$J$160)</f>
        <v/>
      </c>
      <c r="AK160" s="1608" t="str">
        <f>IF($K$160="нет","без дифференциации",IF($N$160=0,"",$N$160))</f>
        <v/>
      </c>
      <c r="AL160" s="1608" t="str">
        <f>IF($O$160="нет","без дифференциации",IF($R$160=0,"",$R$160))</f>
        <v/>
      </c>
      <c r="AM160" s="1608" t="str">
        <f>IF($S$160="нет","без дифференциации",IF($V$160=0,"",$V$160))</f>
        <v/>
      </c>
      <c r="AN160" s="2113">
        <f>$I$160</f>
        <v>0</v>
      </c>
      <c r="AO160" s="1608" t="str">
        <f>$I$160&amp;"."&amp;$M$160</f>
        <v>.</v>
      </c>
      <c r="AP160" s="1600" t="str">
        <f>$I$160&amp;"."&amp;$M$160&amp;"."&amp;$Q$160</f>
        <v>..</v>
      </c>
      <c r="AQ160" s="1600" t="str">
        <f>$I$160&amp;"."&amp;$M$160&amp;"."&amp;$Q$160&amp;"."&amp;$U$160</f>
        <v>...</v>
      </c>
      <c r="AR160" s="1808">
        <v>0</v>
      </c>
    </row>
    <row s="21825" customFormat="1" customHeight="1" ht="17.25" hidden="1">
      <c r="A161" s="662"/>
      <c r="C161" s="661"/>
      <c r="D161" s="2476"/>
      <c r="E161" s="2484"/>
      <c r="F161" s="2487"/>
      <c r="G161" s="2484"/>
      <c r="H161" s="2490"/>
      <c r="I161" s="2492"/>
      <c r="J161" s="2494"/>
      <c r="K161" s="2479"/>
      <c r="L161" s="2479"/>
      <c r="M161" s="2479"/>
      <c r="N161" s="2481"/>
      <c r="O161" s="2479"/>
      <c r="P161" s="2479"/>
      <c r="Q161" s="2479"/>
      <c r="R161" s="2482"/>
      <c r="S161" s="2479"/>
      <c r="T161" s="1638"/>
      <c r="U161" s="1638"/>
      <c r="V161" s="1638"/>
      <c r="W161" s="1639"/>
      <c r="X161" s="1600"/>
      <c r="Y161" s="1600"/>
      <c r="Z161" s="1600"/>
      <c r="AA161" s="1600"/>
      <c r="AB161" s="1600"/>
      <c r="AC161" s="1600"/>
      <c r="AD161" s="1600"/>
      <c r="AE161" s="1600"/>
      <c r="AF161" s="1600"/>
      <c r="AG161" s="1600"/>
      <c r="AH161" s="1600"/>
      <c r="AI161" s="1600"/>
      <c r="AJ161" s="1600"/>
      <c r="AK161" s="1600"/>
      <c r="AL161" s="1600"/>
      <c r="AM161" s="1600"/>
      <c r="AN161" s="1600"/>
      <c r="AO161" s="1600"/>
      <c r="AP161" s="1600"/>
      <c r="AQ161" s="1600"/>
      <c r="AR161" s="1808">
        <v>0</v>
      </c>
    </row>
    <row s="21825" customFormat="1" customHeight="1" ht="17.25" hidden="1">
      <c r="A162" s="662"/>
      <c r="C162" s="661"/>
      <c r="D162" s="2477"/>
      <c r="E162" s="2485"/>
      <c r="F162" s="2487"/>
      <c r="G162" s="2485"/>
      <c r="H162" s="2490"/>
      <c r="I162" s="2492"/>
      <c r="J162" s="2495"/>
      <c r="K162" s="2479"/>
      <c r="L162" s="2479"/>
      <c r="M162" s="2479"/>
      <c r="N162" s="2482"/>
      <c r="O162" s="2479"/>
      <c r="P162" s="1812"/>
      <c r="Q162" s="1638"/>
      <c r="R162" s="1638"/>
      <c r="S162" s="670"/>
      <c r="T162" s="670"/>
      <c r="U162" s="670"/>
      <c r="V162" s="670"/>
      <c r="W162" s="1639"/>
      <c r="X162" s="1600"/>
      <c r="Y162" s="1600"/>
      <c r="Z162" s="1600"/>
      <c r="AA162" s="1600"/>
      <c r="AB162" s="1600"/>
      <c r="AC162" s="1600"/>
      <c r="AD162" s="1600"/>
      <c r="AE162" s="1600"/>
      <c r="AF162" s="1600"/>
      <c r="AG162" s="1600"/>
      <c r="AH162" s="1600"/>
      <c r="AI162" s="1600"/>
      <c r="AJ162" s="1600"/>
      <c r="AK162" s="1600"/>
      <c r="AL162" s="1600"/>
      <c r="AM162" s="1600"/>
      <c r="AN162" s="1600"/>
      <c r="AO162" s="1600"/>
      <c r="AP162" s="1600"/>
      <c r="AQ162" s="1600"/>
      <c r="AR162" s="1808">
        <v>0</v>
      </c>
    </row>
    <row s="21825" customFormat="1" customHeight="1" ht="17.25" hidden="1">
      <c r="A163" s="662"/>
      <c r="C163" s="661"/>
      <c r="D163" s="2477"/>
      <c r="E163" s="2485"/>
      <c r="F163" s="2487"/>
      <c r="G163" s="2485"/>
      <c r="H163" s="2490"/>
      <c r="I163" s="2492"/>
      <c r="J163" s="2495"/>
      <c r="K163" s="2479"/>
      <c r="L163" s="1638"/>
      <c r="M163" s="1638"/>
      <c r="N163" s="1638"/>
      <c r="O163" s="1638"/>
      <c r="P163" s="1638"/>
      <c r="Q163" s="1638"/>
      <c r="R163" s="1638"/>
      <c r="S163" s="670"/>
      <c r="T163" s="670"/>
      <c r="U163" s="670"/>
      <c r="V163" s="670"/>
      <c r="W163" s="1639"/>
      <c r="X163" s="1600"/>
      <c r="Y163" s="1600"/>
      <c r="Z163" s="1600"/>
      <c r="AA163" s="1600"/>
      <c r="AB163" s="1600"/>
      <c r="AC163" s="1600"/>
      <c r="AD163" s="1600"/>
      <c r="AE163" s="1600"/>
      <c r="AF163" s="1600"/>
      <c r="AG163" s="1600"/>
      <c r="AH163" s="1600"/>
      <c r="AI163" s="1600"/>
      <c r="AJ163" s="1600"/>
      <c r="AK163" s="1600"/>
      <c r="AL163" s="1600"/>
      <c r="AM163" s="1600"/>
      <c r="AN163" s="1600"/>
      <c r="AO163" s="1600"/>
      <c r="AP163" s="1600"/>
      <c r="AQ163" s="1600"/>
      <c r="AR163" s="1808">
        <v>0</v>
      </c>
    </row>
    <row s="21825" customFormat="1" customHeight="1" ht="17.25" hidden="1">
      <c r="A164" s="662"/>
      <c r="C164" s="661"/>
      <c r="D164" s="2477"/>
      <c r="E164" s="2485"/>
      <c r="F164" s="2488"/>
      <c r="G164" s="2485"/>
      <c r="H164" s="1640"/>
      <c r="I164" s="1641"/>
      <c r="J164" s="1641"/>
      <c r="K164" s="1641"/>
      <c r="L164" s="1641"/>
      <c r="M164" s="1641"/>
      <c r="N164" s="1641"/>
      <c r="O164" s="1641"/>
      <c r="P164" s="1641"/>
      <c r="Q164" s="1641"/>
      <c r="R164" s="1641"/>
      <c r="S164" s="1642"/>
      <c r="T164" s="1642"/>
      <c r="U164" s="1642"/>
      <c r="V164" s="1642"/>
      <c r="W164" s="1643"/>
      <c r="X164" s="1600"/>
      <c r="Y164" s="1600"/>
      <c r="Z164" s="1600"/>
      <c r="AA164" s="1600"/>
      <c r="AB164" s="1600"/>
      <c r="AC164" s="1600"/>
      <c r="AD164" s="1600"/>
      <c r="AE164" s="1600"/>
      <c r="AF164" s="1600"/>
      <c r="AG164" s="1600"/>
      <c r="AH164" s="1600"/>
      <c r="AI164" s="1600"/>
      <c r="AJ164" s="1600"/>
      <c r="AK164" s="1600"/>
      <c r="AL164" s="1600"/>
      <c r="AM164" s="1600"/>
      <c r="AN164" s="1600"/>
      <c r="AO164" s="1600"/>
      <c r="AP164" s="1600"/>
      <c r="AQ164" s="1600"/>
      <c r="AR164" s="1808">
        <v>0</v>
      </c>
    </row>
    <row s="21825" customFormat="1" customHeight="1" ht="17.25" hidden="1">
      <c r="A165" s="662"/>
      <c r="C165" s="550"/>
      <c r="D165" s="2476">
        <v>3</v>
      </c>
      <c r="E165" s="2484" t="s">
        <v>373</v>
      </c>
      <c r="F165" s="2486" t="s">
        <v>19</v>
      </c>
      <c r="G165" s="2484"/>
      <c r="H165" s="2489"/>
      <c r="I165" s="2491"/>
      <c r="J165" s="2493"/>
      <c r="K165" s="2478"/>
      <c r="L165" s="2478"/>
      <c r="M165" s="2478"/>
      <c r="N165" s="2480"/>
      <c r="O165" s="2478"/>
      <c r="P165" s="2478"/>
      <c r="Q165" s="2478"/>
      <c r="R165" s="2483"/>
      <c r="S165" s="2478"/>
      <c r="T165" s="2284"/>
      <c r="U165" s="2284"/>
      <c r="V165" s="2286"/>
      <c r="W165" s="1637"/>
      <c r="X165" s="1608"/>
      <c r="Y165" s="1608"/>
      <c r="Z165" s="1608"/>
      <c r="AA165" s="1608"/>
      <c r="AB165" s="1608"/>
      <c r="AC165" s="1608" t="s">
        <v>374</v>
      </c>
      <c r="AD165" s="1608" t="s">
        <v>375</v>
      </c>
      <c r="AE165" s="1608" t="s">
        <v>376</v>
      </c>
      <c r="AF165" s="1608" t="s">
        <v>377</v>
      </c>
      <c r="AG165" s="1608"/>
      <c r="AH165" s="1608" t="str">
        <f>IF($E$165=0,"",$E$165)</f>
        <v>Тариф на подключение (технологическое присоединение) к централизованной системе горячего водоснабжения</v>
      </c>
      <c r="AI165" s="1608" t="str">
        <f>IF($G$165=0,"",$G$165)</f>
        <v/>
      </c>
      <c r="AJ165" s="1608" t="str">
        <f>IF($J$165=0,"",$J$165)</f>
        <v/>
      </c>
      <c r="AK165" s="1608" t="str">
        <f>IF($K$165="нет","без дифференциации",IF($N$165=0,"",$N$165))</f>
        <v/>
      </c>
      <c r="AL165" s="1608" t="str">
        <f>IF($O$165="нет","без дифференциации",IF($R$165=0,"",$R$165))</f>
        <v/>
      </c>
      <c r="AM165" s="1608" t="str">
        <f>IF($S$165="нет","без дифференциации",IF($V$165=0,"",$V$165))</f>
        <v/>
      </c>
      <c r="AN165" s="2113">
        <f>$I$165</f>
        <v>0</v>
      </c>
      <c r="AO165" s="1608" t="str">
        <f>$I$165&amp;"."&amp;$M$165</f>
        <v>.</v>
      </c>
      <c r="AP165" s="1607" t="str">
        <f>$I$165&amp;"."&amp;$M$165&amp;"."&amp;$Q$165</f>
        <v>..</v>
      </c>
      <c r="AQ165" s="1607" t="str">
        <f>$I$165&amp;"."&amp;$M$165&amp;"."&amp;$Q$165&amp;"."&amp;$U$165</f>
        <v>...</v>
      </c>
      <c r="AR165" s="1808">
        <v>0</v>
      </c>
    </row>
    <row s="21825" customFormat="1" customHeight="1" ht="17.25" hidden="1">
      <c r="A166" s="662"/>
      <c r="C166" s="661"/>
      <c r="D166" s="2476"/>
      <c r="E166" s="2484"/>
      <c r="F166" s="2487"/>
      <c r="G166" s="2484"/>
      <c r="H166" s="2490"/>
      <c r="I166" s="2492"/>
      <c r="J166" s="2494"/>
      <c r="K166" s="2479"/>
      <c r="L166" s="2479"/>
      <c r="M166" s="2479"/>
      <c r="N166" s="2481"/>
      <c r="O166" s="2479"/>
      <c r="P166" s="2479"/>
      <c r="Q166" s="2479"/>
      <c r="R166" s="2482"/>
      <c r="S166" s="2479"/>
      <c r="T166" s="2289"/>
      <c r="U166" s="2289"/>
      <c r="V166" s="2289"/>
      <c r="W166" s="2290"/>
      <c r="X166" s="1607"/>
      <c r="Y166" s="1607"/>
      <c r="Z166" s="1607"/>
      <c r="AA166" s="1607"/>
      <c r="AB166" s="1607"/>
      <c r="AC166" s="1607"/>
      <c r="AD166" s="1607"/>
      <c r="AE166" s="1607"/>
      <c r="AF166" s="1607"/>
      <c r="AG166" s="1607"/>
      <c r="AH166" s="1607"/>
      <c r="AI166" s="1607"/>
      <c r="AJ166" s="1607"/>
      <c r="AK166" s="1607"/>
      <c r="AL166" s="1607"/>
      <c r="AM166" s="1607"/>
      <c r="AN166" s="1607"/>
      <c r="AO166" s="1607"/>
      <c r="AP166" s="1607"/>
      <c r="AQ166" s="1607"/>
      <c r="AR166" s="1808">
        <v>0</v>
      </c>
    </row>
    <row s="21825" customFormat="1" customHeight="1" ht="17.25" hidden="1">
      <c r="A167" s="662"/>
      <c r="C167" s="661"/>
      <c r="D167" s="2477"/>
      <c r="E167" s="2485"/>
      <c r="F167" s="2487"/>
      <c r="G167" s="2485"/>
      <c r="H167" s="2490"/>
      <c r="I167" s="2492"/>
      <c r="J167" s="2495"/>
      <c r="K167" s="2479"/>
      <c r="L167" s="2479"/>
      <c r="M167" s="2479"/>
      <c r="N167" s="2482"/>
      <c r="O167" s="2479"/>
      <c r="P167" s="2285"/>
      <c r="Q167" s="2289"/>
      <c r="R167" s="2289"/>
      <c r="S167" s="670"/>
      <c r="T167" s="670"/>
      <c r="U167" s="670"/>
      <c r="V167" s="670"/>
      <c r="W167" s="2290"/>
      <c r="X167" s="1607"/>
      <c r="Y167" s="1607"/>
      <c r="Z167" s="1607"/>
      <c r="AA167" s="1607"/>
      <c r="AB167" s="1607"/>
      <c r="AC167" s="1607"/>
      <c r="AD167" s="1607"/>
      <c r="AE167" s="1607"/>
      <c r="AF167" s="1607"/>
      <c r="AG167" s="1607"/>
      <c r="AH167" s="1607"/>
      <c r="AI167" s="1607"/>
      <c r="AJ167" s="1607"/>
      <c r="AK167" s="1607"/>
      <c r="AL167" s="1607"/>
      <c r="AM167" s="1607"/>
      <c r="AN167" s="1607"/>
      <c r="AO167" s="1607"/>
      <c r="AP167" s="1607"/>
      <c r="AQ167" s="1607"/>
      <c r="AR167" s="1808">
        <v>0</v>
      </c>
    </row>
    <row s="21825" customFormat="1" customHeight="1" ht="17.25" hidden="1">
      <c r="A168" s="662"/>
      <c r="C168" s="661"/>
      <c r="D168" s="2477"/>
      <c r="E168" s="2485"/>
      <c r="F168" s="2487"/>
      <c r="G168" s="2485"/>
      <c r="H168" s="2490"/>
      <c r="I168" s="2492"/>
      <c r="J168" s="2495"/>
      <c r="K168" s="2479"/>
      <c r="L168" s="2289"/>
      <c r="M168" s="2289"/>
      <c r="N168" s="2289"/>
      <c r="O168" s="2289"/>
      <c r="P168" s="2289"/>
      <c r="Q168" s="2289"/>
      <c r="R168" s="2289"/>
      <c r="S168" s="670"/>
      <c r="T168" s="670"/>
      <c r="U168" s="670"/>
      <c r="V168" s="670"/>
      <c r="W168" s="2290"/>
      <c r="X168" s="1607"/>
      <c r="Y168" s="1607"/>
      <c r="Z168" s="1607"/>
      <c r="AA168" s="1607"/>
      <c r="AB168" s="1607"/>
      <c r="AC168" s="1607"/>
      <c r="AD168" s="1607"/>
      <c r="AE168" s="1607"/>
      <c r="AF168" s="1607"/>
      <c r="AG168" s="1607"/>
      <c r="AH168" s="1607"/>
      <c r="AI168" s="1607"/>
      <c r="AJ168" s="1607"/>
      <c r="AK168" s="1607"/>
      <c r="AL168" s="1607"/>
      <c r="AM168" s="1607"/>
      <c r="AN168" s="1607"/>
      <c r="AO168" s="1607"/>
      <c r="AP168" s="1607"/>
      <c r="AQ168" s="1607"/>
      <c r="AR168" s="1808">
        <v>0</v>
      </c>
    </row>
    <row s="21825" customFormat="1" customHeight="1" ht="17.25" hidden="1">
      <c r="A169" s="662"/>
      <c r="C169" s="661"/>
      <c r="D169" s="2477"/>
      <c r="E169" s="2485"/>
      <c r="F169" s="2488"/>
      <c r="G169" s="2485"/>
      <c r="H169" s="1640"/>
      <c r="I169" s="2287"/>
      <c r="J169" s="2287"/>
      <c r="K169" s="2287"/>
      <c r="L169" s="2287"/>
      <c r="M169" s="2287"/>
      <c r="N169" s="2287"/>
      <c r="O169" s="2287"/>
      <c r="P169" s="2287"/>
      <c r="Q169" s="2287"/>
      <c r="R169" s="2287"/>
      <c r="S169" s="1642"/>
      <c r="T169" s="1642"/>
      <c r="U169" s="1642"/>
      <c r="V169" s="1642"/>
      <c r="W169" s="2288"/>
      <c r="X169" s="1607"/>
      <c r="Y169" s="1607"/>
      <c r="Z169" s="1607"/>
      <c r="AA169" s="1607"/>
      <c r="AB169" s="1607"/>
      <c r="AC169" s="1607"/>
      <c r="AD169" s="1607"/>
      <c r="AE169" s="1607"/>
      <c r="AF169" s="1607"/>
      <c r="AG169" s="1607"/>
      <c r="AH169" s="1607"/>
      <c r="AI169" s="1607"/>
      <c r="AJ169" s="1607"/>
      <c r="AK169" s="1607"/>
      <c r="AL169" s="1607"/>
      <c r="AM169" s="1607"/>
      <c r="AN169" s="1607"/>
      <c r="AO169" s="1607"/>
      <c r="AP169" s="1607"/>
      <c r="AQ169" s="1607"/>
      <c r="AR169" s="1808">
        <v>0</v>
      </c>
    </row>
    <row s="21825" customFormat="1" customHeight="1" ht="11.25" hidden="1">
      <c r="A170" s="618"/>
      <c r="B170" s="618"/>
      <c r="Y170" s="1600"/>
      <c r="Z170" s="1600"/>
      <c r="AA170" s="1600"/>
      <c r="AB170" s="1600"/>
      <c r="AC170" s="1600"/>
      <c r="AD170" s="1600"/>
      <c r="AE170" s="1600"/>
      <c r="AF170" s="1600"/>
      <c r="AG170" s="1600"/>
      <c r="AH170" s="1600"/>
      <c r="AI170" s="1600"/>
      <c r="AJ170" s="1600"/>
      <c r="AK170" s="1600"/>
      <c r="AL170" s="1600"/>
      <c r="AM170" s="1600"/>
      <c r="AN170" s="1600"/>
      <c r="AO170" s="1600"/>
      <c r="AP170" s="1600"/>
      <c r="AQ170" s="1600"/>
      <c r="AR170" s="1808">
        <v>0</v>
      </c>
    </row>
    <row s="21825" customFormat="1" customHeight="1" ht="17.25" hidden="1">
      <c r="A171" s="662"/>
      <c r="C171" s="550"/>
      <c r="D171" s="2476">
        <v>1</v>
      </c>
      <c r="E171" s="2484" t="s">
        <v>378</v>
      </c>
      <c r="F171" s="2486" t="s">
        <v>19</v>
      </c>
      <c r="G171" s="2484"/>
      <c r="H171" s="2489"/>
      <c r="I171" s="2491"/>
      <c r="J171" s="2493"/>
      <c r="K171" s="2478"/>
      <c r="L171" s="2478"/>
      <c r="M171" s="2478"/>
      <c r="N171" s="2480"/>
      <c r="O171" s="2478"/>
      <c r="P171" s="2478"/>
      <c r="Q171" s="2478"/>
      <c r="R171" s="2483"/>
      <c r="S171" s="2478"/>
      <c r="T171" s="1811"/>
      <c r="U171" s="1811"/>
      <c r="V171" s="1813"/>
      <c r="W171" s="1637"/>
      <c r="Y171" s="1608"/>
      <c r="Z171" s="1608"/>
      <c r="AA171" s="1608"/>
      <c r="AB171" s="1608"/>
      <c r="AC171" s="1608" t="s">
        <v>379</v>
      </c>
      <c r="AD171" s="1608" t="s">
        <v>380</v>
      </c>
      <c r="AE171" s="1608" t="s">
        <v>381</v>
      </c>
      <c r="AF171" s="1608" t="s">
        <v>382</v>
      </c>
      <c r="AG171" s="1608"/>
      <c r="AH171" s="1608" t="str">
        <f>IF($E$171=0,"",$E$171)</f>
        <v>Тариф на водоотведение</v>
      </c>
      <c r="AI171" s="1608" t="str">
        <f>IF($G$171=0,"",$G$171)</f>
        <v/>
      </c>
      <c r="AJ171" s="1608" t="str">
        <f>IF($J$171=0,"",$J$171)</f>
        <v/>
      </c>
      <c r="AK171" s="1608" t="str">
        <f>IF($K$171="нет","без дифференциации",IF($N$171=0,"",$N$171))</f>
        <v/>
      </c>
      <c r="AL171" s="1608" t="str">
        <f>IF($O$171="нет","без дифференциации",IF($R$171=0,"",$R$171))</f>
        <v/>
      </c>
      <c r="AM171" s="1608" t="str">
        <f>IF($S$171="нет","без дифференциации",IF($V$171=0,"",$V$171))</f>
        <v/>
      </c>
      <c r="AN171" s="1608">
        <f>$I$171</f>
        <v>0</v>
      </c>
      <c r="AO171" s="1608" t="str">
        <f>$I$171&amp;"."&amp;$M$171</f>
        <v>.</v>
      </c>
      <c r="AP171" s="1608" t="str">
        <f>$I$171&amp;"."&amp;$M$171&amp;"."&amp;$Q$171</f>
        <v>..</v>
      </c>
      <c r="AQ171" s="1608" t="str">
        <f>$I$171&amp;"."&amp;$M$171&amp;"."&amp;$Q$171&amp;"."&amp;$U$171</f>
        <v>...</v>
      </c>
      <c r="AR171" s="1808">
        <v>0</v>
      </c>
    </row>
    <row s="21825" customFormat="1" customHeight="1" ht="17.25" hidden="1">
      <c r="A172" s="662"/>
      <c r="C172" s="661"/>
      <c r="D172" s="2476"/>
      <c r="E172" s="2484"/>
      <c r="F172" s="2487"/>
      <c r="G172" s="2484"/>
      <c r="H172" s="2490"/>
      <c r="I172" s="2492"/>
      <c r="J172" s="2494"/>
      <c r="K172" s="2479"/>
      <c r="L172" s="2479"/>
      <c r="M172" s="2479"/>
      <c r="N172" s="2481"/>
      <c r="O172" s="2479"/>
      <c r="P172" s="2479"/>
      <c r="Q172" s="2479"/>
      <c r="R172" s="2482"/>
      <c r="S172" s="2479"/>
      <c r="T172" s="1638"/>
      <c r="U172" s="1638"/>
      <c r="V172" s="1638"/>
      <c r="W172" s="1639"/>
      <c r="Y172" s="1600"/>
      <c r="Z172" s="1600"/>
      <c r="AA172" s="1600"/>
      <c r="AB172" s="1600"/>
      <c r="AC172" s="1600"/>
      <c r="AD172" s="1600"/>
      <c r="AE172" s="1600"/>
      <c r="AF172" s="1600"/>
      <c r="AG172" s="1600"/>
      <c r="AH172" s="1600"/>
      <c r="AI172" s="1600"/>
      <c r="AJ172" s="1600"/>
      <c r="AK172" s="1600"/>
      <c r="AL172" s="1600"/>
      <c r="AM172" s="1600"/>
      <c r="AN172" s="1600"/>
      <c r="AO172" s="1600"/>
      <c r="AP172" s="1600"/>
      <c r="AQ172" s="1600"/>
      <c r="AR172" s="1808">
        <v>0</v>
      </c>
    </row>
    <row s="21825" customFormat="1" customHeight="1" ht="17.25" hidden="1">
      <c r="A173" s="662"/>
      <c r="C173" s="550"/>
      <c r="D173" s="2476"/>
      <c r="E173" s="2484"/>
      <c r="F173" s="2487"/>
      <c r="G173" s="2484"/>
      <c r="H173" s="2490"/>
      <c r="I173" s="2492"/>
      <c r="J173" s="2495"/>
      <c r="K173" s="2479"/>
      <c r="L173" s="2479"/>
      <c r="M173" s="2479"/>
      <c r="N173" s="2482"/>
      <c r="O173" s="2479"/>
      <c r="P173" s="1812"/>
      <c r="Q173" s="1638"/>
      <c r="R173" s="1638"/>
      <c r="S173" s="670"/>
      <c r="T173" s="670"/>
      <c r="U173" s="670"/>
      <c r="V173" s="670"/>
      <c r="W173" s="1639"/>
      <c r="Y173" s="1608"/>
      <c r="Z173" s="1608"/>
      <c r="AA173" s="1608"/>
      <c r="AB173" s="1608"/>
      <c r="AC173" s="1608"/>
      <c r="AD173" s="1608"/>
      <c r="AE173" s="1608"/>
      <c r="AF173" s="1608"/>
      <c r="AG173" s="1608"/>
      <c r="AH173" s="1608"/>
      <c r="AI173" s="1608"/>
      <c r="AJ173" s="1608"/>
      <c r="AK173" s="1608"/>
      <c r="AL173" s="1608"/>
      <c r="AM173" s="1608"/>
      <c r="AN173" s="1608"/>
      <c r="AO173" s="1608"/>
      <c r="AP173" s="1608"/>
      <c r="AQ173" s="1608"/>
      <c r="AR173" s="1808">
        <v>0</v>
      </c>
    </row>
    <row s="21825" customFormat="1" customHeight="1" ht="17.25" hidden="1">
      <c r="A174" s="662"/>
      <c r="C174" s="661"/>
      <c r="D174" s="2476"/>
      <c r="E174" s="2484"/>
      <c r="F174" s="2487"/>
      <c r="G174" s="2484"/>
      <c r="H174" s="2490"/>
      <c r="I174" s="2492"/>
      <c r="J174" s="2495"/>
      <c r="K174" s="2479"/>
      <c r="L174" s="1638"/>
      <c r="M174" s="1638"/>
      <c r="N174" s="1638"/>
      <c r="O174" s="1638"/>
      <c r="P174" s="1638"/>
      <c r="Q174" s="1638"/>
      <c r="R174" s="1638"/>
      <c r="S174" s="670"/>
      <c r="T174" s="670"/>
      <c r="U174" s="670"/>
      <c r="V174" s="670"/>
      <c r="W174" s="1639"/>
      <c r="Y174" s="1600"/>
      <c r="Z174" s="1600"/>
      <c r="AA174" s="1600"/>
      <c r="AB174" s="1600"/>
      <c r="AC174" s="1600"/>
      <c r="AD174" s="1600"/>
      <c r="AE174" s="1600"/>
      <c r="AF174" s="1600"/>
      <c r="AG174" s="1600"/>
      <c r="AH174" s="1600"/>
      <c r="AI174" s="1600"/>
      <c r="AJ174" s="1600"/>
      <c r="AK174" s="1600"/>
      <c r="AL174" s="1600"/>
      <c r="AM174" s="1600"/>
      <c r="AN174" s="1600"/>
      <c r="AO174" s="1600"/>
      <c r="AP174" s="1600"/>
      <c r="AQ174" s="1600"/>
      <c r="AR174" s="1808">
        <v>0</v>
      </c>
    </row>
    <row s="21825" customFormat="1" customHeight="1" ht="17.25" hidden="1">
      <c r="A175" s="662"/>
      <c r="C175" s="661"/>
      <c r="D175" s="2477"/>
      <c r="E175" s="2485"/>
      <c r="F175" s="2488"/>
      <c r="G175" s="2485"/>
      <c r="H175" s="1640"/>
      <c r="I175" s="1641"/>
      <c r="J175" s="1641"/>
      <c r="K175" s="1641"/>
      <c r="L175" s="1641"/>
      <c r="M175" s="1641"/>
      <c r="N175" s="1641"/>
      <c r="O175" s="1641"/>
      <c r="P175" s="1641"/>
      <c r="Q175" s="1641"/>
      <c r="R175" s="1641"/>
      <c r="S175" s="1642"/>
      <c r="T175" s="1642"/>
      <c r="U175" s="1642"/>
      <c r="V175" s="1642"/>
      <c r="W175" s="1643"/>
      <c r="Y175" s="1600"/>
      <c r="Z175" s="1600"/>
      <c r="AA175" s="1600"/>
      <c r="AB175" s="1600"/>
      <c r="AC175" s="1600"/>
      <c r="AD175" s="1600"/>
      <c r="AE175" s="1600"/>
      <c r="AF175" s="1600"/>
      <c r="AG175" s="1600"/>
      <c r="AH175" s="1600"/>
      <c r="AI175" s="1600"/>
      <c r="AJ175" s="1600"/>
      <c r="AK175" s="1600"/>
      <c r="AL175" s="1600"/>
      <c r="AM175" s="1600"/>
      <c r="AN175" s="1600"/>
      <c r="AO175" s="1600"/>
      <c r="AP175" s="1600"/>
      <c r="AQ175" s="1600"/>
      <c r="AR175" s="1808">
        <v>0</v>
      </c>
    </row>
    <row s="21825" customFormat="1" customHeight="1" ht="17.25" hidden="1">
      <c r="A176" s="662"/>
      <c r="C176" s="550"/>
      <c r="D176" s="2476">
        <v>2</v>
      </c>
      <c r="E176" s="2484" t="s">
        <v>383</v>
      </c>
      <c r="F176" s="2486" t="s">
        <v>19</v>
      </c>
      <c r="G176" s="2484"/>
      <c r="H176" s="2489"/>
      <c r="I176" s="2491"/>
      <c r="J176" s="2493"/>
      <c r="K176" s="2478"/>
      <c r="L176" s="2478"/>
      <c r="M176" s="2478"/>
      <c r="N176" s="2480"/>
      <c r="O176" s="2478"/>
      <c r="P176" s="2478"/>
      <c r="Q176" s="2478"/>
      <c r="R176" s="2483"/>
      <c r="S176" s="2478"/>
      <c r="T176" s="1811"/>
      <c r="U176" s="1811"/>
      <c r="V176" s="1813"/>
      <c r="W176" s="1637"/>
      <c r="X176" s="1608"/>
      <c r="Y176" s="1608"/>
      <c r="Z176" s="1608"/>
      <c r="AA176" s="1608"/>
      <c r="AB176" s="1608"/>
      <c r="AC176" s="1608" t="s">
        <v>384</v>
      </c>
      <c r="AD176" s="1608" t="s">
        <v>385</v>
      </c>
      <c r="AE176" s="1608" t="s">
        <v>386</v>
      </c>
      <c r="AF176" s="1608" t="s">
        <v>387</v>
      </c>
      <c r="AG176" s="1608"/>
      <c r="AH176" s="1608" t="str">
        <f>IF($E$176=0,"",$E$176)</f>
        <v>Тариф на транспортировку сточных вод</v>
      </c>
      <c r="AI176" s="1608" t="str">
        <f>IF($G$176=0,"",$G$176)</f>
        <v/>
      </c>
      <c r="AJ176" s="1608" t="str">
        <f>IF($J$176=0,"",$J$176)</f>
        <v/>
      </c>
      <c r="AK176" s="1608" t="str">
        <f>IF($K$176="нет","без дифференциации",IF($N$176=0,"",$N$176))</f>
        <v/>
      </c>
      <c r="AL176" s="1608" t="str">
        <f>IF($O$176="нет","без дифференциации",IF($R$176=0,"",$R$176))</f>
        <v/>
      </c>
      <c r="AM176" s="1608" t="str">
        <f>IF($S$176="нет","без дифференциации",IF($V$176=0,"",$V$176))</f>
        <v/>
      </c>
      <c r="AN176" s="2113">
        <f>$I$176</f>
        <v>0</v>
      </c>
      <c r="AO176" s="1608" t="str">
        <f>$I$176&amp;"."&amp;$M$176</f>
        <v>.</v>
      </c>
      <c r="AP176" s="1600" t="str">
        <f>$I$176&amp;"."&amp;$M$176&amp;"."&amp;$Q$176</f>
        <v>..</v>
      </c>
      <c r="AQ176" s="1600" t="str">
        <f>$I$176&amp;"."&amp;$M$176&amp;"."&amp;$Q$176&amp;"."&amp;$U$176</f>
        <v>...</v>
      </c>
      <c r="AR176" s="1808">
        <v>0</v>
      </c>
    </row>
    <row s="21825" customFormat="1" customHeight="1" ht="17.25" hidden="1">
      <c r="A177" s="662"/>
      <c r="C177" s="661"/>
      <c r="D177" s="2476"/>
      <c r="E177" s="2484"/>
      <c r="F177" s="2487"/>
      <c r="G177" s="2484"/>
      <c r="H177" s="2490"/>
      <c r="I177" s="2492"/>
      <c r="J177" s="2494"/>
      <c r="K177" s="2479"/>
      <c r="L177" s="2479"/>
      <c r="M177" s="2479"/>
      <c r="N177" s="2481"/>
      <c r="O177" s="2479"/>
      <c r="P177" s="2479"/>
      <c r="Q177" s="2479"/>
      <c r="R177" s="2482"/>
      <c r="S177" s="2479"/>
      <c r="T177" s="1638"/>
      <c r="U177" s="1638"/>
      <c r="V177" s="1638"/>
      <c r="W177" s="1639"/>
      <c r="X177" s="1600"/>
      <c r="Y177" s="1600"/>
      <c r="Z177" s="1600"/>
      <c r="AA177" s="1600"/>
      <c r="AB177" s="1600"/>
      <c r="AC177" s="1600"/>
      <c r="AD177" s="1600"/>
      <c r="AE177" s="1600"/>
      <c r="AF177" s="1600"/>
      <c r="AG177" s="1600"/>
      <c r="AH177" s="1600"/>
      <c r="AI177" s="1600"/>
      <c r="AJ177" s="1600"/>
      <c r="AK177" s="1600"/>
      <c r="AL177" s="1600"/>
      <c r="AM177" s="1600"/>
      <c r="AN177" s="1600"/>
      <c r="AO177" s="1600"/>
      <c r="AP177" s="1600"/>
      <c r="AQ177" s="1600"/>
      <c r="AR177" s="1808">
        <v>0</v>
      </c>
    </row>
    <row s="21825" customFormat="1" customHeight="1" ht="17.25" hidden="1">
      <c r="A178" s="662"/>
      <c r="C178" s="661"/>
      <c r="D178" s="2477"/>
      <c r="E178" s="2485"/>
      <c r="F178" s="2487"/>
      <c r="G178" s="2485"/>
      <c r="H178" s="2490"/>
      <c r="I178" s="2492"/>
      <c r="J178" s="2495"/>
      <c r="K178" s="2479"/>
      <c r="L178" s="2479"/>
      <c r="M178" s="2479"/>
      <c r="N178" s="2482"/>
      <c r="O178" s="2479"/>
      <c r="P178" s="1812"/>
      <c r="Q178" s="1638"/>
      <c r="R178" s="1638"/>
      <c r="S178" s="670"/>
      <c r="T178" s="670"/>
      <c r="U178" s="670"/>
      <c r="V178" s="670"/>
      <c r="W178" s="1639"/>
      <c r="X178" s="1600"/>
      <c r="Y178" s="1600"/>
      <c r="Z178" s="1600"/>
      <c r="AA178" s="1600"/>
      <c r="AB178" s="1600"/>
      <c r="AC178" s="1600"/>
      <c r="AD178" s="1600"/>
      <c r="AE178" s="1600"/>
      <c r="AF178" s="1600"/>
      <c r="AG178" s="1600"/>
      <c r="AH178" s="1600"/>
      <c r="AI178" s="1600"/>
      <c r="AJ178" s="1600"/>
      <c r="AK178" s="1600"/>
      <c r="AL178" s="1600"/>
      <c r="AM178" s="1600"/>
      <c r="AN178" s="1600"/>
      <c r="AO178" s="1600"/>
      <c r="AP178" s="1600"/>
      <c r="AQ178" s="1600"/>
      <c r="AR178" s="1808">
        <v>0</v>
      </c>
    </row>
    <row s="21825" customFormat="1" customHeight="1" ht="17.25" hidden="1">
      <c r="A179" s="662"/>
      <c r="C179" s="661"/>
      <c r="D179" s="2477"/>
      <c r="E179" s="2485"/>
      <c r="F179" s="2487"/>
      <c r="G179" s="2485"/>
      <c r="H179" s="2490"/>
      <c r="I179" s="2492"/>
      <c r="J179" s="2495"/>
      <c r="K179" s="2479"/>
      <c r="L179" s="1638"/>
      <c r="M179" s="1638"/>
      <c r="N179" s="1638"/>
      <c r="O179" s="1638"/>
      <c r="P179" s="1638"/>
      <c r="Q179" s="1638"/>
      <c r="R179" s="1638"/>
      <c r="S179" s="670"/>
      <c r="T179" s="670"/>
      <c r="U179" s="670"/>
      <c r="V179" s="670"/>
      <c r="W179" s="1639"/>
      <c r="X179" s="1600"/>
      <c r="Y179" s="1600"/>
      <c r="Z179" s="1600"/>
      <c r="AA179" s="1600"/>
      <c r="AB179" s="1600"/>
      <c r="AC179" s="1600"/>
      <c r="AD179" s="1600"/>
      <c r="AE179" s="1600"/>
      <c r="AF179" s="1600"/>
      <c r="AG179" s="1600"/>
      <c r="AH179" s="1600"/>
      <c r="AI179" s="1600"/>
      <c r="AJ179" s="1600"/>
      <c r="AK179" s="1600"/>
      <c r="AL179" s="1600"/>
      <c r="AM179" s="1600"/>
      <c r="AN179" s="1600"/>
      <c r="AO179" s="1600"/>
      <c r="AP179" s="1600"/>
      <c r="AQ179" s="1600"/>
      <c r="AR179" s="1808">
        <v>0</v>
      </c>
    </row>
    <row s="21825" customFormat="1" customHeight="1" ht="17.25" hidden="1">
      <c r="A180" s="662"/>
      <c r="C180" s="661"/>
      <c r="D180" s="2477"/>
      <c r="E180" s="2485"/>
      <c r="F180" s="2488"/>
      <c r="G180" s="2485"/>
      <c r="H180" s="1640"/>
      <c r="I180" s="1641"/>
      <c r="J180" s="1641"/>
      <c r="K180" s="1641"/>
      <c r="L180" s="1641"/>
      <c r="M180" s="1641"/>
      <c r="N180" s="1641"/>
      <c r="O180" s="1641"/>
      <c r="P180" s="1641"/>
      <c r="Q180" s="1641"/>
      <c r="R180" s="1641"/>
      <c r="S180" s="1642"/>
      <c r="T180" s="1642"/>
      <c r="U180" s="1642"/>
      <c r="V180" s="1642"/>
      <c r="W180" s="1643"/>
      <c r="X180" s="1600"/>
      <c r="Y180" s="1600"/>
      <c r="Z180" s="1600"/>
      <c r="AA180" s="1600"/>
      <c r="AB180" s="1600"/>
      <c r="AC180" s="1600"/>
      <c r="AD180" s="1600"/>
      <c r="AE180" s="1600"/>
      <c r="AF180" s="1600"/>
      <c r="AG180" s="1600"/>
      <c r="AH180" s="1600"/>
      <c r="AI180" s="1600"/>
      <c r="AJ180" s="1600"/>
      <c r="AK180" s="1600"/>
      <c r="AL180" s="1600"/>
      <c r="AM180" s="1600"/>
      <c r="AN180" s="1600"/>
      <c r="AO180" s="1600"/>
      <c r="AP180" s="1600"/>
      <c r="AQ180" s="1600"/>
      <c r="AR180" s="1808">
        <v>0</v>
      </c>
    </row>
    <row s="21825" customFormat="1" customHeight="1" ht="17.25" hidden="1">
      <c r="A181" s="662"/>
      <c r="C181" s="550"/>
      <c r="D181" s="2476">
        <v>3</v>
      </c>
      <c r="E181" s="2484" t="s">
        <v>388</v>
      </c>
      <c r="F181" s="2486" t="s">
        <v>19</v>
      </c>
      <c r="G181" s="2484"/>
      <c r="H181" s="2489"/>
      <c r="I181" s="2491"/>
      <c r="J181" s="2493"/>
      <c r="K181" s="2478"/>
      <c r="L181" s="2478"/>
      <c r="M181" s="2478"/>
      <c r="N181" s="2480"/>
      <c r="O181" s="2478"/>
      <c r="P181" s="2478"/>
      <c r="Q181" s="2478"/>
      <c r="R181" s="2483"/>
      <c r="S181" s="2478"/>
      <c r="T181" s="2284"/>
      <c r="U181" s="2284"/>
      <c r="V181" s="2286"/>
      <c r="W181" s="1637"/>
      <c r="X181" s="1608"/>
      <c r="Y181" s="1608"/>
      <c r="Z181" s="1608"/>
      <c r="AA181" s="1608"/>
      <c r="AB181" s="1608"/>
      <c r="AC181" s="1608" t="s">
        <v>389</v>
      </c>
      <c r="AD181" s="1608" t="s">
        <v>390</v>
      </c>
      <c r="AE181" s="1608" t="s">
        <v>391</v>
      </c>
      <c r="AF181" s="1608" t="s">
        <v>392</v>
      </c>
      <c r="AG181" s="1608"/>
      <c r="AH181" s="1608" t="str">
        <f>IF($E$181=0,"",$E$181)</f>
        <v>Тариф на подключение (технологическое присоединение) к централизованной системе водоотведения</v>
      </c>
      <c r="AI181" s="1608" t="str">
        <f>IF($G$181=0,"",$G$181)</f>
        <v/>
      </c>
      <c r="AJ181" s="1608" t="str">
        <f>IF($J$181=0,"",$J$181)</f>
        <v/>
      </c>
      <c r="AK181" s="1608" t="str">
        <f>IF($K$181="нет","без дифференциации",IF($N$181=0,"",$N$181))</f>
        <v/>
      </c>
      <c r="AL181" s="1608" t="str">
        <f>IF($O$181="нет","без дифференциации",IF($R$181=0,"",$R$181))</f>
        <v/>
      </c>
      <c r="AM181" s="1608" t="str">
        <f>IF($S$181="нет","без дифференциации",IF($V$181=0,"",$V$181))</f>
        <v/>
      </c>
      <c r="AN181" s="2113">
        <f>$I$181</f>
        <v>0</v>
      </c>
      <c r="AO181" s="1608" t="str">
        <f>$I$181&amp;"."&amp;$M$181</f>
        <v>.</v>
      </c>
      <c r="AP181" s="1607" t="str">
        <f>$I$181&amp;"."&amp;$M$181&amp;"."&amp;$Q$181</f>
        <v>..</v>
      </c>
      <c r="AQ181" s="1607" t="str">
        <f>$I$181&amp;"."&amp;$M$181&amp;"."&amp;$Q$181&amp;"."&amp;$U$181</f>
        <v>...</v>
      </c>
      <c r="AR181" s="1808">
        <v>0</v>
      </c>
    </row>
    <row s="21825" customFormat="1" customHeight="1" ht="17.25" hidden="1">
      <c r="A182" s="662"/>
      <c r="C182" s="661"/>
      <c r="D182" s="2476"/>
      <c r="E182" s="2484"/>
      <c r="F182" s="2487"/>
      <c r="G182" s="2484"/>
      <c r="H182" s="2490"/>
      <c r="I182" s="2492"/>
      <c r="J182" s="2494"/>
      <c r="K182" s="2479"/>
      <c r="L182" s="2479"/>
      <c r="M182" s="2479"/>
      <c r="N182" s="2481"/>
      <c r="O182" s="2479"/>
      <c r="P182" s="2479"/>
      <c r="Q182" s="2479"/>
      <c r="R182" s="2482"/>
      <c r="S182" s="2479"/>
      <c r="T182" s="2289"/>
      <c r="U182" s="2289"/>
      <c r="V182" s="2289"/>
      <c r="W182" s="2290"/>
      <c r="X182" s="1607"/>
      <c r="Y182" s="1607"/>
      <c r="Z182" s="1607"/>
      <c r="AA182" s="1607"/>
      <c r="AB182" s="1607"/>
      <c r="AC182" s="1607"/>
      <c r="AD182" s="1607"/>
      <c r="AE182" s="1607"/>
      <c r="AF182" s="1607"/>
      <c r="AG182" s="1607"/>
      <c r="AH182" s="1607"/>
      <c r="AI182" s="1607"/>
      <c r="AJ182" s="1607"/>
      <c r="AK182" s="1607"/>
      <c r="AL182" s="1607"/>
      <c r="AM182" s="1607"/>
      <c r="AN182" s="1607"/>
      <c r="AO182" s="1607"/>
      <c r="AP182" s="1607"/>
      <c r="AQ182" s="1607"/>
      <c r="AR182" s="1808">
        <v>0</v>
      </c>
    </row>
    <row s="21825" customFormat="1" customHeight="1" ht="17.25" hidden="1">
      <c r="A183" s="662"/>
      <c r="C183" s="661"/>
      <c r="D183" s="2477"/>
      <c r="E183" s="2485"/>
      <c r="F183" s="2487"/>
      <c r="G183" s="2485"/>
      <c r="H183" s="2490"/>
      <c r="I183" s="2492"/>
      <c r="J183" s="2495"/>
      <c r="K183" s="2479"/>
      <c r="L183" s="2479"/>
      <c r="M183" s="2479"/>
      <c r="N183" s="2482"/>
      <c r="O183" s="2479"/>
      <c r="P183" s="2285"/>
      <c r="Q183" s="2289"/>
      <c r="R183" s="2289"/>
      <c r="S183" s="670"/>
      <c r="T183" s="670"/>
      <c r="U183" s="670"/>
      <c r="V183" s="670"/>
      <c r="W183" s="2290"/>
      <c r="X183" s="1607"/>
      <c r="Y183" s="1607"/>
      <c r="Z183" s="1607"/>
      <c r="AA183" s="1607"/>
      <c r="AB183" s="1607"/>
      <c r="AC183" s="1607"/>
      <c r="AD183" s="1607"/>
      <c r="AE183" s="1607"/>
      <c r="AF183" s="1607"/>
      <c r="AG183" s="1607"/>
      <c r="AH183" s="1607"/>
      <c r="AI183" s="1607"/>
      <c r="AJ183" s="1607"/>
      <c r="AK183" s="1607"/>
      <c r="AL183" s="1607"/>
      <c r="AM183" s="1607"/>
      <c r="AN183" s="1607"/>
      <c r="AO183" s="1607"/>
      <c r="AP183" s="1607"/>
      <c r="AQ183" s="1607"/>
      <c r="AR183" s="1808">
        <v>0</v>
      </c>
    </row>
    <row s="21825" customFormat="1" customHeight="1" ht="17.25" hidden="1">
      <c r="A184" s="662"/>
      <c r="C184" s="661"/>
      <c r="D184" s="2477"/>
      <c r="E184" s="2485"/>
      <c r="F184" s="2487"/>
      <c r="G184" s="2485"/>
      <c r="H184" s="2490"/>
      <c r="I184" s="2492"/>
      <c r="J184" s="2495"/>
      <c r="K184" s="2479"/>
      <c r="L184" s="2289"/>
      <c r="M184" s="2289"/>
      <c r="N184" s="2289"/>
      <c r="O184" s="2289"/>
      <c r="P184" s="2289"/>
      <c r="Q184" s="2289"/>
      <c r="R184" s="2289"/>
      <c r="S184" s="670"/>
      <c r="T184" s="670"/>
      <c r="U184" s="670"/>
      <c r="V184" s="670"/>
      <c r="W184" s="2290"/>
      <c r="X184" s="1607"/>
      <c r="Y184" s="1607"/>
      <c r="Z184" s="1607"/>
      <c r="AA184" s="1607"/>
      <c r="AB184" s="1607"/>
      <c r="AC184" s="1607"/>
      <c r="AD184" s="1607"/>
      <c r="AE184" s="1607"/>
      <c r="AF184" s="1607"/>
      <c r="AG184" s="1607"/>
      <c r="AH184" s="1607"/>
      <c r="AI184" s="1607"/>
      <c r="AJ184" s="1607"/>
      <c r="AK184" s="1607"/>
      <c r="AL184" s="1607"/>
      <c r="AM184" s="1607"/>
      <c r="AN184" s="1607"/>
      <c r="AO184" s="1607"/>
      <c r="AP184" s="1607"/>
      <c r="AQ184" s="1607"/>
      <c r="AR184" s="1808">
        <v>0</v>
      </c>
    </row>
    <row s="21825" customFormat="1" customHeight="1" ht="17.25" hidden="1">
      <c r="A185" s="662"/>
      <c r="C185" s="661"/>
      <c r="D185" s="2477"/>
      <c r="E185" s="2485"/>
      <c r="F185" s="2488"/>
      <c r="G185" s="2485"/>
      <c r="H185" s="1640"/>
      <c r="I185" s="2287"/>
      <c r="J185" s="2287"/>
      <c r="K185" s="2287"/>
      <c r="L185" s="2287"/>
      <c r="M185" s="2287"/>
      <c r="N185" s="2287"/>
      <c r="O185" s="2287"/>
      <c r="P185" s="2287"/>
      <c r="Q185" s="2287"/>
      <c r="R185" s="2287"/>
      <c r="S185" s="1642"/>
      <c r="T185" s="1642"/>
      <c r="U185" s="1642"/>
      <c r="V185" s="1642"/>
      <c r="W185" s="2288"/>
      <c r="X185" s="1607"/>
      <c r="Y185" s="1607"/>
      <c r="Z185" s="1607"/>
      <c r="AA185" s="1607"/>
      <c r="AB185" s="1607"/>
      <c r="AC185" s="1607"/>
      <c r="AD185" s="1607"/>
      <c r="AE185" s="1607"/>
      <c r="AF185" s="1607"/>
      <c r="AG185" s="1607"/>
      <c r="AH185" s="1607"/>
      <c r="AI185" s="1607"/>
      <c r="AJ185" s="1607"/>
      <c r="AK185" s="1607"/>
      <c r="AL185" s="1607"/>
      <c r="AM185" s="1607"/>
      <c r="AN185" s="1607"/>
      <c r="AO185" s="1607"/>
      <c r="AP185" s="1607"/>
      <c r="AQ185" s="1607"/>
      <c r="AR185" s="1808">
        <v>0</v>
      </c>
    </row>
    <row customHeight="1" ht="11.549999999999999">
      <c r="AR186" s="445">
        <v>11</v>
      </c>
    </row>
    <row customHeight="1" ht="11.549999999999999">
      <c r="AR187" s="445">
        <v>11</v>
      </c>
    </row>
    <row customHeight="1" ht="11.549999999999999">
      <c r="AR188" s="445">
        <v>11</v>
      </c>
    </row>
    <row customHeight="1" ht="11.549999999999999">
      <c r="E189" s="1691"/>
      <c r="AR189" s="445">
        <v>11</v>
      </c>
    </row>
    <row customHeight="1" ht="11.549999999999999">
      <c r="E190" s="1691"/>
      <c r="AR190" s="445">
        <v>11</v>
      </c>
    </row>
    <row customHeight="1" ht="11.549999999999999">
      <c r="E191" s="1691"/>
      <c r="AR191" s="445">
        <v>11</v>
      </c>
    </row>
    <row customHeight="1" ht="11.549999999999999">
      <c r="E192" s="1691"/>
      <c r="AR192" s="445">
        <v>11</v>
      </c>
    </row>
    <row customHeight="1" ht="11.549999999999999">
      <c r="E193" s="1691"/>
      <c r="AR193" s="445">
        <v>11</v>
      </c>
    </row>
    <row customHeight="1" ht="11.549999999999999">
      <c r="E194" s="1691"/>
      <c r="AR194" s="445">
        <v>11</v>
      </c>
    </row>
    <row customHeight="1" ht="11.549999999999999">
      <c r="E195" s="1691"/>
      <c r="AR195" s="445">
        <v>11</v>
      </c>
    </row>
    <row customHeight="1" ht="11.25" hidden="1">
      <c r="A196" s="494" t="s">
        <v>82</v>
      </c>
      <c r="B196" s="494">
        <v>0</v>
      </c>
      <c r="C196" s="445">
        <v>3</v>
      </c>
      <c r="D196" s="445">
        <v>6</v>
      </c>
      <c r="E196" s="445">
        <v>42</v>
      </c>
      <c r="F196" s="1624">
        <v>14</v>
      </c>
      <c r="G196" s="445">
        <v>42</v>
      </c>
      <c r="H196" s="445">
        <v>3</v>
      </c>
      <c r="I196" s="445">
        <v>5</v>
      </c>
      <c r="J196" s="445">
        <v>47</v>
      </c>
      <c r="K196" s="445">
        <v>3</v>
      </c>
      <c r="L196" s="445">
        <v>3</v>
      </c>
      <c r="M196" s="445">
        <v>5</v>
      </c>
      <c r="N196" s="445">
        <v>28</v>
      </c>
      <c r="O196" s="445">
        <v>3</v>
      </c>
      <c r="P196" s="445">
        <v>3</v>
      </c>
      <c r="Q196" s="445">
        <v>5</v>
      </c>
      <c r="R196" s="445">
        <v>34</v>
      </c>
      <c r="S196" s="623">
        <v>0</v>
      </c>
      <c r="T196" s="623">
        <v>0</v>
      </c>
      <c r="U196" s="623">
        <v>0</v>
      </c>
      <c r="V196" s="623">
        <v>0</v>
      </c>
      <c r="W196" s="445">
        <v>30</v>
      </c>
      <c r="X196" s="445">
        <v>3</v>
      </c>
      <c r="Y196" s="1600">
        <v>0</v>
      </c>
      <c r="Z196" s="1600">
        <v>0</v>
      </c>
      <c r="AA196" s="1600">
        <v>0</v>
      </c>
      <c r="AB196" s="1600">
        <v>0</v>
      </c>
      <c r="AC196" s="1600">
        <v>0</v>
      </c>
      <c r="AD196" s="1600">
        <v>0</v>
      </c>
      <c r="AE196" s="1600">
        <v>0</v>
      </c>
      <c r="AF196" s="1600">
        <v>0</v>
      </c>
      <c r="AG196" s="1600">
        <v>0</v>
      </c>
      <c r="AH196" s="1600">
        <v>0</v>
      </c>
      <c r="AI196" s="1600">
        <v>0</v>
      </c>
      <c r="AJ196" s="1600">
        <v>0</v>
      </c>
      <c r="AK196" s="1600">
        <v>0</v>
      </c>
      <c r="AL196" s="1600">
        <v>0</v>
      </c>
      <c r="AM196" s="1600">
        <v>0</v>
      </c>
      <c r="AN196" s="1600">
        <v>0</v>
      </c>
      <c r="AO196" s="1600">
        <v>0</v>
      </c>
      <c r="AP196" s="1600">
        <v>0</v>
      </c>
      <c r="AQ196" s="1600">
        <v>0</v>
      </c>
      <c r="AR196" s="445">
        <v>11</v>
      </c>
    </row>
  </sheetData>
  <sheetProtection formatColumns="0" formatRows="0" autoFilter="0" sort="0" insertRows="0" insertColumns="1" deleteRows="0" deleteColumns="0"/>
  <mergeCells count="521">
    <mergeCell ref="R23:R24"/>
    <mergeCell ref="S23:S24"/>
    <mergeCell ref="G23:G27"/>
    <mergeCell ref="H23:H26"/>
    <mergeCell ref="I23:I26"/>
    <mergeCell ref="J23:J26"/>
    <mergeCell ref="K23:K26"/>
    <mergeCell ref="L23:L25"/>
    <mergeCell ref="M23:M25"/>
    <mergeCell ref="N23:N25"/>
    <mergeCell ref="O23:O25"/>
    <mergeCell ref="M181:M183"/>
    <mergeCell ref="N181:N183"/>
    <mergeCell ref="O181:O183"/>
    <mergeCell ref="P181:P182"/>
    <mergeCell ref="Q181:Q182"/>
    <mergeCell ref="R181:R182"/>
    <mergeCell ref="S181:S182"/>
    <mergeCell ref="D181:D185"/>
    <mergeCell ref="E181:E185"/>
    <mergeCell ref="F181:F185"/>
    <mergeCell ref="G181:G185"/>
    <mergeCell ref="H181:H184"/>
    <mergeCell ref="I181:I184"/>
    <mergeCell ref="J181:J184"/>
    <mergeCell ref="K181:K184"/>
    <mergeCell ref="L181:L183"/>
    <mergeCell ref="N149:N151"/>
    <mergeCell ref="O149:O151"/>
    <mergeCell ref="P149:P150"/>
    <mergeCell ref="Q149:Q150"/>
    <mergeCell ref="R149:R150"/>
    <mergeCell ref="S149:S150"/>
    <mergeCell ref="D165:D169"/>
    <mergeCell ref="E165:E169"/>
    <mergeCell ref="F165:F169"/>
    <mergeCell ref="G165:G169"/>
    <mergeCell ref="H165:H168"/>
    <mergeCell ref="I165:I168"/>
    <mergeCell ref="J165:J168"/>
    <mergeCell ref="K165:K168"/>
    <mergeCell ref="L165:L167"/>
    <mergeCell ref="M165:M167"/>
    <mergeCell ref="N165:N167"/>
    <mergeCell ref="O165:O167"/>
    <mergeCell ref="P165:P166"/>
    <mergeCell ref="Q165:Q166"/>
    <mergeCell ref="R165:R166"/>
    <mergeCell ref="S165:S166"/>
    <mergeCell ref="D149:D153"/>
    <mergeCell ref="E149:E153"/>
    <mergeCell ref="F149:F153"/>
    <mergeCell ref="G149:G153"/>
    <mergeCell ref="H149:H152"/>
    <mergeCell ref="I149:I152"/>
    <mergeCell ref="J149:J152"/>
    <mergeCell ref="K149:K152"/>
    <mergeCell ref="L149:L151"/>
    <mergeCell ref="S176:S177"/>
    <mergeCell ref="D176:D180"/>
    <mergeCell ref="E176:E180"/>
    <mergeCell ref="F176:F180"/>
    <mergeCell ref="G176:G180"/>
    <mergeCell ref="H176:H179"/>
    <mergeCell ref="I176:I179"/>
    <mergeCell ref="J176:J179"/>
    <mergeCell ref="K176:K179"/>
    <mergeCell ref="L176:L178"/>
    <mergeCell ref="H171:H174"/>
    <mergeCell ref="I171:I174"/>
    <mergeCell ref="J171:J174"/>
    <mergeCell ref="K171:K174"/>
    <mergeCell ref="L171:L173"/>
    <mergeCell ref="M171:M173"/>
    <mergeCell ref="N171:N173"/>
    <mergeCell ref="M176:M178"/>
    <mergeCell ref="N176:N178"/>
    <mergeCell ref="O176:O178"/>
    <mergeCell ref="P171:P172"/>
    <mergeCell ref="Q171:Q172"/>
    <mergeCell ref="R171:R172"/>
    <mergeCell ref="P176:P177"/>
    <mergeCell ref="Q176:Q177"/>
    <mergeCell ref="R176:R177"/>
    <mergeCell ref="S171:S172"/>
    <mergeCell ref="D171:D175"/>
    <mergeCell ref="E171:E175"/>
    <mergeCell ref="F171:F175"/>
    <mergeCell ref="G171:G175"/>
    <mergeCell ref="M160:M162"/>
    <mergeCell ref="N160:N162"/>
    <mergeCell ref="O160:O162"/>
    <mergeCell ref="P160:P161"/>
    <mergeCell ref="Q160:Q161"/>
    <mergeCell ref="R160:R161"/>
    <mergeCell ref="S160:S161"/>
    <mergeCell ref="D160:D164"/>
    <mergeCell ref="E160:E164"/>
    <mergeCell ref="F160:F164"/>
    <mergeCell ref="G160:G164"/>
    <mergeCell ref="H160:H163"/>
    <mergeCell ref="I160:I163"/>
    <mergeCell ref="J160:J163"/>
    <mergeCell ref="K160:K163"/>
    <mergeCell ref="L160:L162"/>
    <mergeCell ref="O171:O173"/>
    <mergeCell ref="R13:R14"/>
    <mergeCell ref="S13:S14"/>
    <mergeCell ref="M48:M50"/>
    <mergeCell ref="N48:N50"/>
    <mergeCell ref="O48:O50"/>
    <mergeCell ref="N38:N40"/>
    <mergeCell ref="D155:D159"/>
    <mergeCell ref="E155:E159"/>
    <mergeCell ref="F155:F159"/>
    <mergeCell ref="G155:G159"/>
    <mergeCell ref="H155:H158"/>
    <mergeCell ref="I155:I158"/>
    <mergeCell ref="J155:J158"/>
    <mergeCell ref="K155:K158"/>
    <mergeCell ref="L155:L157"/>
    <mergeCell ref="P53:P54"/>
    <mergeCell ref="Q53:Q54"/>
    <mergeCell ref="R53:R54"/>
    <mergeCell ref="S53:S54"/>
    <mergeCell ref="P48:P49"/>
    <mergeCell ref="Q48:Q49"/>
    <mergeCell ref="R48:R49"/>
    <mergeCell ref="S48:S49"/>
    <mergeCell ref="S28:S29"/>
    <mergeCell ref="S18:S19"/>
    <mergeCell ref="M155:M157"/>
    <mergeCell ref="N155:N157"/>
    <mergeCell ref="O155:O157"/>
    <mergeCell ref="P155:P156"/>
    <mergeCell ref="Q155:Q156"/>
    <mergeCell ref="R155:R156"/>
    <mergeCell ref="S155:S156"/>
    <mergeCell ref="O53:O55"/>
    <mergeCell ref="E77:W77"/>
    <mergeCell ref="E69:W69"/>
    <mergeCell ref="E70:W70"/>
    <mergeCell ref="E71:W71"/>
    <mergeCell ref="E72:W72"/>
    <mergeCell ref="E73:W73"/>
    <mergeCell ref="E75:W75"/>
    <mergeCell ref="E76:W76"/>
    <mergeCell ref="K139:K14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133"/>
    <mergeCell ref="E79:E133"/>
    <mergeCell ref="D134:D138"/>
    <mergeCell ref="E134:E138"/>
    <mergeCell ref="F134:F138"/>
    <mergeCell ref="G134:G138"/>
    <mergeCell ref="F79:F133"/>
    <mergeCell ref="G79:G133"/>
    <mergeCell ref="K13:K16"/>
    <mergeCell ref="G18:G22"/>
    <mergeCell ref="K18:K21"/>
    <mergeCell ref="N28:N30"/>
    <mergeCell ref="L139:L141"/>
    <mergeCell ref="S139:S140"/>
    <mergeCell ref="N139:N141"/>
    <mergeCell ref="O139:O141"/>
    <mergeCell ref="P139:P140"/>
    <mergeCell ref="Q139:Q140"/>
    <mergeCell ref="R139:R140"/>
    <mergeCell ref="M144:M146"/>
    <mergeCell ref="N144:N146"/>
    <mergeCell ref="O144:O146"/>
    <mergeCell ref="P144:P145"/>
    <mergeCell ref="Q144:Q145"/>
    <mergeCell ref="R144:R145"/>
    <mergeCell ref="S144:S145"/>
    <mergeCell ref="D139:D143"/>
    <mergeCell ref="E139:E143"/>
    <mergeCell ref="M139:M141"/>
    <mergeCell ref="D144:D148"/>
    <mergeCell ref="E144:E148"/>
    <mergeCell ref="F144:F148"/>
    <mergeCell ref="G144:G148"/>
    <mergeCell ref="H144:H147"/>
    <mergeCell ref="I144:I147"/>
    <mergeCell ref="J144:J147"/>
    <mergeCell ref="K144:K147"/>
    <mergeCell ref="L144:L146"/>
    <mergeCell ref="F139:F143"/>
    <mergeCell ref="G139:G143"/>
    <mergeCell ref="H139:H142"/>
    <mergeCell ref="I139:I142"/>
    <mergeCell ref="J139:J142"/>
    <mergeCell ref="S63:S64"/>
    <mergeCell ref="E58:E62"/>
    <mergeCell ref="F58:F62"/>
    <mergeCell ref="G58:G62"/>
    <mergeCell ref="H58:H61"/>
    <mergeCell ref="I58:I61"/>
    <mergeCell ref="J58:J61"/>
    <mergeCell ref="K58:K61"/>
    <mergeCell ref="L58:L60"/>
    <mergeCell ref="D58:D62"/>
    <mergeCell ref="M149:M15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9"/>
    <mergeCell ref="N79:N89"/>
    <mergeCell ref="S79:S80"/>
    <mergeCell ref="H79:H132"/>
    <mergeCell ref="I79:I132"/>
    <mergeCell ref="J79:J132"/>
    <mergeCell ref="K79:K132"/>
    <mergeCell ref="L79:L89"/>
    <mergeCell ref="W79:W80"/>
    <mergeCell ref="O79:O89"/>
    <mergeCell ref="P79:P80"/>
    <mergeCell ref="Q79:Q80"/>
    <mergeCell ref="R79:R80"/>
    <mergeCell ref="L90:L94"/>
    <mergeCell ref="M90:M94"/>
    <mergeCell ref="N90:N94"/>
    <mergeCell ref="O90:O94"/>
    <mergeCell ref="P90:P91"/>
    <mergeCell ref="Q90:Q91"/>
    <mergeCell ref="R90:R91"/>
    <mergeCell ref="S90:S91"/>
    <mergeCell ref="W90:W91"/>
    <mergeCell ref="P81:P82"/>
    <mergeCell ref="Q81:Q82"/>
    <mergeCell ref="R81:R82"/>
    <mergeCell ref="S81:S82"/>
    <mergeCell ref="W81:W82"/>
    <mergeCell ref="P83:P84"/>
    <mergeCell ref="Q83:Q84"/>
    <mergeCell ref="R83:R84"/>
    <mergeCell ref="S83:S84"/>
    <mergeCell ref="W83:W84"/>
    <mergeCell ref="P85:P86"/>
    <mergeCell ref="Q85:Q86"/>
    <mergeCell ref="R85:R86"/>
    <mergeCell ref="S85:S86"/>
    <mergeCell ref="W85:W86"/>
    <mergeCell ref="P87:P88"/>
    <mergeCell ref="Q87:Q88"/>
    <mergeCell ref="R87:R88"/>
    <mergeCell ref="S87:S88"/>
    <mergeCell ref="W87:W88"/>
    <mergeCell ref="P92:P93"/>
    <mergeCell ref="Q92:Q93"/>
    <mergeCell ref="R92:R93"/>
    <mergeCell ref="S92:S93"/>
    <mergeCell ref="W92:W93"/>
    <mergeCell ref="L95:L97"/>
    <mergeCell ref="M95:M97"/>
    <mergeCell ref="N95:N97"/>
    <mergeCell ref="O95:O97"/>
    <mergeCell ref="P95:P96"/>
    <mergeCell ref="Q95:Q96"/>
    <mergeCell ref="R95:R96"/>
    <mergeCell ref="S95:S96"/>
    <mergeCell ref="W95:W96"/>
    <mergeCell ref="L98:L100"/>
    <mergeCell ref="M98:M100"/>
    <mergeCell ref="N98:N100"/>
    <mergeCell ref="O98:O100"/>
    <mergeCell ref="P98:P99"/>
    <mergeCell ref="Q98:Q99"/>
    <mergeCell ref="R98:R99"/>
    <mergeCell ref="S98:S99"/>
    <mergeCell ref="W98:W99"/>
    <mergeCell ref="L101:L103"/>
    <mergeCell ref="M101:M103"/>
    <mergeCell ref="N101:N103"/>
    <mergeCell ref="O101:O103"/>
    <mergeCell ref="P101:P102"/>
    <mergeCell ref="Q101:Q102"/>
    <mergeCell ref="R101:R102"/>
    <mergeCell ref="S101:S102"/>
    <mergeCell ref="W101:W102"/>
    <mergeCell ref="L104:L106"/>
    <mergeCell ref="M104:M106"/>
    <mergeCell ref="N104:N106"/>
    <mergeCell ref="O104:O106"/>
    <mergeCell ref="P104:P105"/>
    <mergeCell ref="Q104:Q105"/>
    <mergeCell ref="R104:R105"/>
    <mergeCell ref="S104:S105"/>
    <mergeCell ref="W104:W105"/>
    <mergeCell ref="L107:L109"/>
    <mergeCell ref="M107:M109"/>
    <mergeCell ref="N107:N109"/>
    <mergeCell ref="O107:O109"/>
    <mergeCell ref="P107:P108"/>
    <mergeCell ref="Q107:Q108"/>
    <mergeCell ref="R107:R108"/>
    <mergeCell ref="S107:S108"/>
    <mergeCell ref="W107:W108"/>
    <mergeCell ref="L110:L114"/>
    <mergeCell ref="M110:M114"/>
    <mergeCell ref="N110:N114"/>
    <mergeCell ref="O110:O114"/>
    <mergeCell ref="P110:P111"/>
    <mergeCell ref="Q110:Q111"/>
    <mergeCell ref="R110:R111"/>
    <mergeCell ref="S110:S111"/>
    <mergeCell ref="W110:W111"/>
    <mergeCell ref="P112:P113"/>
    <mergeCell ref="Q112:Q113"/>
    <mergeCell ref="R112:R113"/>
    <mergeCell ref="S112:S113"/>
    <mergeCell ref="W112:W113"/>
    <mergeCell ref="L115:L119"/>
    <mergeCell ref="M115:M119"/>
    <mergeCell ref="N115:N119"/>
    <mergeCell ref="O115:O119"/>
    <mergeCell ref="P115:P116"/>
    <mergeCell ref="Q115:Q116"/>
    <mergeCell ref="R115:R116"/>
    <mergeCell ref="S115:S116"/>
    <mergeCell ref="W115:W116"/>
    <mergeCell ref="P117:P118"/>
    <mergeCell ref="Q117:Q118"/>
    <mergeCell ref="R117:R118"/>
    <mergeCell ref="S117:S118"/>
    <mergeCell ref="W117:W118"/>
    <mergeCell ref="L120:L128"/>
    <mergeCell ref="M120:M128"/>
    <mergeCell ref="N120:N128"/>
    <mergeCell ref="O120:O128"/>
    <mergeCell ref="P120:P121"/>
    <mergeCell ref="Q120:Q121"/>
    <mergeCell ref="R120:R121"/>
    <mergeCell ref="S120:S121"/>
    <mergeCell ref="W120:W121"/>
    <mergeCell ref="P122:P123"/>
    <mergeCell ref="Q122:Q123"/>
    <mergeCell ref="R122:R123"/>
    <mergeCell ref="S122:S123"/>
    <mergeCell ref="W122:W123"/>
    <mergeCell ref="P124:P125"/>
    <mergeCell ref="Q124:Q125"/>
    <mergeCell ref="R124:R125"/>
    <mergeCell ref="S124:S125"/>
    <mergeCell ref="W124:W125"/>
    <mergeCell ref="L129:L131"/>
    <mergeCell ref="M129:M131"/>
    <mergeCell ref="N129:N131"/>
    <mergeCell ref="O129:O131"/>
    <mergeCell ref="P129:P130"/>
    <mergeCell ref="Q129:Q130"/>
    <mergeCell ref="R129:R130"/>
    <mergeCell ref="S129:S130"/>
    <mergeCell ref="W129:W130"/>
    <mergeCell ref="P126:P127"/>
    <mergeCell ref="Q126:Q127"/>
    <mergeCell ref="R126:R127"/>
    <mergeCell ref="S126:S127"/>
    <mergeCell ref="W126:W127"/>
    <mergeCell ref="M134:M136"/>
    <mergeCell ref="N134:N136"/>
    <mergeCell ref="S134:S135"/>
    <mergeCell ref="H134:H137"/>
    <mergeCell ref="I134:I137"/>
    <mergeCell ref="J134:J137"/>
    <mergeCell ref="K134:K137"/>
    <mergeCell ref="L134:L136"/>
    <mergeCell ref="W134:W135"/>
    <mergeCell ref="O134:O136"/>
    <mergeCell ref="P134:P135"/>
    <mergeCell ref="Q134:Q135"/>
    <mergeCell ref="R134:R135"/>
  </mergeCells>
  <dataValidations count="3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O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K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type="textLength" operator="lessThanOrEqual" allowBlank="1" showInputMessage="1" showErrorMessage="1" errorTitle="Ошибка" error="Допускается ввод не более 900 символов!" sqref="W124">
      <formula1>900</formula1>
    </dataValidation>
    <dataValidation type="textLength" operator="lessThanOrEqual" allowBlank="1" showInputMessage="1" showErrorMessage="1" errorTitle="Ошибка" error="Допускается ввод не более 900 символов!" sqref="V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O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type="textLength" operator="lessThanOrEqual" allowBlank="1" showInputMessage="1" showErrorMessage="1" errorTitle="Ошибка" error="Допускается ввод не более 900 символов!" sqref="W122">
      <formula1>900</formula1>
    </dataValidation>
    <dataValidation type="textLength" operator="lessThanOrEqual" allowBlank="1" showInputMessage="1" showErrorMessage="1" errorTitle="Ошибка" error="Допускается ввод не более 900 символов!" sqref="V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O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type="textLength" operator="lessThanOrEqual" allowBlank="1" showInputMessage="1" showErrorMessage="1" errorTitle="Ошибка" error="Допускается ввод не более 900 символов!" sqref="W112">
      <formula1>900</formula1>
    </dataValidation>
    <dataValidation type="textLength" operator="lessThanOrEqual" allowBlank="1" showInputMessage="1" showErrorMessage="1" errorTitle="Ошибка" error="Допускается ввод не более 900 символов!" sqref="V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O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O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type="textLength" operator="lessThanOrEqual" allowBlank="1" showInputMessage="1" showErrorMessage="1" errorTitle="Ошибка" error="Допускается ввод не более 900 символов!" sqref="W81">
      <formula1>900</formula1>
    </dataValidation>
    <dataValidation type="textLength" operator="lessThanOrEqual" allowBlank="1" showInputMessage="1" showErrorMessage="1" errorTitle="Ошибка" error="Допускается ввод не более 900 символов!" sqref="V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O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55:G169 G171:G185 G79:G80 G89 G132:G15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44:N146 N139:N141 N53:N55 N155:N157 N160:N162 N176:N178 N171:N173 N58:N60 N63:N65 N149:N151 N165:N167 N181:N18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44:J145 R144:R145 V144:W144 J139:J140 R139:R140 V139:W139 J53:J54 R53:R54 V53:W53 J155:J156 R155:R156 V155:W155 J160:J161 R160:R161 V160:W160 J176:J177 R176:R177 V176:W176 J171:J172 R171:R172 V171:W171 J58:J59 R58:R59 V58:W58 J63:J64 R63:R64 V63:W63 J149:J150 R149:R150 V149:W149 J165:J166 R165:R166 V165:W165 J181:J182 R181:R182 V181:W18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44:K145 O144:O145 S144:S145 K139:K140 O139:O140 S53:S54 S139:S140 K53:K54 O53:O54 O181:O182 O155:O156 S155:S156 O160:O161 S160:S161 K155:K156 K160:K161 S149:S150 K176:K177 O176:O177 K171:K172 O171:O172 S176:S177 O165:O166 S171:S172 O58:O59 S58:S59 K58:K59 K63:K64 O63:O64 S63:S64 F79:F80 F89 F132:F153 K149:K150 O149:O150 F155:F169 S165:S166 K165:K166 F171:F185 S181:S182 K181:K182 F13:F67 K23:K24 O23:O24 S23:S24"/>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BE287-3344-CC42-688D-706251D496A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1748" width="9.140625" hidden="1"/>
    <col min="3" max="4" style="21748" width="3.00390625" customWidth="1"/>
    <col min="5" max="6" style="21748" width="15.00390625" customWidth="1"/>
    <col min="7" max="7" style="21748" width="11.57421875" customWidth="1"/>
    <col min="8" max="9" style="21748" width="3.00390625" customWidth="1"/>
    <col min="10" max="10" style="21748" width="12.00390625" customWidth="1"/>
    <col min="11" max="11" style="21748" width="0.28125" customWidth="1"/>
    <col min="12" max="13" style="21748" width="10.00390625" customWidth="1"/>
    <col min="14" max="15" style="21748" width="3.00390625" customWidth="1"/>
    <col min="16" max="16" style="21748" width="19.00390625" customWidth="1"/>
    <col min="17" max="17" style="21748" width="0.28125" customWidth="1"/>
    <col min="18" max="19" style="21748" width="10.00390625" customWidth="1"/>
    <col min="20" max="21" style="21748" width="3.00390625" customWidth="1"/>
    <col min="22" max="22" style="21748" width="25.00390625" customWidth="1"/>
    <col min="23" max="23" style="21748" width="0.28125" customWidth="1"/>
    <col min="24" max="25" style="21748" width="10.00390625" customWidth="1"/>
    <col min="26" max="27" style="21748" width="3.00390625" customWidth="1"/>
    <col min="28" max="28" style="21748" width="16.00390625" customWidth="1"/>
    <col min="29" max="29" style="21748" width="0.28125" customWidth="1"/>
    <col min="30" max="31" style="21748" width="10.00390625" customWidth="1"/>
    <col min="32" max="33" style="21748" width="3.00390625" customWidth="1"/>
    <col min="34" max="34" style="21748" width="8.00390625" customWidth="1"/>
    <col min="35" max="35" style="21748" width="21.00390625" customWidth="1"/>
    <col min="36" max="36" style="21748" width="8.00390625" customWidth="1"/>
    <col min="37" max="37" style="22217" width="8.00390625" customWidth="1"/>
    <col min="38" max="64" style="21748" width="8.00390625" customWidth="1"/>
    <col min="65" max="65" style="21748" width="9.140625" hidden="1"/>
  </cols>
  <sheetData>
    <row s="22143"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22144" customFormat="1" customHeight="1" ht="11.25" hidden="1">
      <c r="L2" s="1894" t="s">
        <v>393</v>
      </c>
      <c r="M2" s="1894" t="s">
        <v>394</v>
      </c>
      <c r="R2" s="1894" t="s">
        <v>395</v>
      </c>
      <c r="S2" s="1894" t="s">
        <v>394</v>
      </c>
      <c r="X2" s="1894" t="s">
        <v>393</v>
      </c>
      <c r="Y2" s="1894" t="s">
        <v>394</v>
      </c>
      <c r="AD2" s="1894" t="s">
        <v>393</v>
      </c>
      <c r="AE2" s="1894" t="s">
        <v>394</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22147"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21703" customFormat="1" customHeight="1" ht="34.5">
      <c r="A4" s="1497"/>
      <c r="B4" s="1496"/>
      <c r="C4" s="1856"/>
      <c r="D4" s="2532" t="s">
        <v>396</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21703" customFormat="1" customHeight="1" ht="14.699999999999998">
      <c r="A5" s="1973"/>
      <c r="B5" s="1972"/>
      <c r="C5" s="1856"/>
      <c r="D5" s="2517" t="str">
        <f>IF(org=0,"Не определено",org)</f>
        <v>КГУП "Примтеплоэнерго"</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21703"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22143"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150</v>
      </c>
      <c r="F8" s="2533" t="s">
        <v>163</v>
      </c>
      <c r="G8" s="2534"/>
      <c r="H8" s="2533" t="s">
        <v>88</v>
      </c>
      <c r="I8" s="2534"/>
      <c r="J8" s="2468" t="s">
        <v>164</v>
      </c>
      <c r="K8" s="1897"/>
      <c r="L8" s="2537" t="s">
        <v>397</v>
      </c>
      <c r="M8" s="2537"/>
      <c r="N8" s="2537"/>
      <c r="O8" s="2537"/>
      <c r="P8" s="2537"/>
      <c r="Q8" s="1898"/>
      <c r="R8" s="2437" t="s">
        <v>398</v>
      </c>
      <c r="S8" s="2538"/>
      <c r="T8" s="2538"/>
      <c r="U8" s="2538"/>
      <c r="V8" s="2538"/>
      <c r="W8" s="1898"/>
      <c r="X8" s="2539" t="s">
        <v>399</v>
      </c>
      <c r="Y8" s="2539"/>
      <c r="Z8" s="2539"/>
      <c r="AA8" s="2539"/>
      <c r="AB8" s="2539"/>
      <c r="AC8" s="1899"/>
      <c r="AD8" s="2468" t="s">
        <v>400</v>
      </c>
      <c r="AE8" s="2468"/>
      <c r="AF8" s="2468"/>
      <c r="AG8" s="2468"/>
      <c r="AH8" s="2442"/>
      <c r="AI8" s="2468" t="s">
        <v>401</v>
      </c>
      <c r="AJ8" s="1915"/>
      <c r="BM8" s="634">
        <v>32</v>
      </c>
    </row>
    <row customHeight="1" ht="23.25">
      <c r="D9" s="2468"/>
      <c r="E9" s="2468"/>
      <c r="F9" s="2516" t="s">
        <v>89</v>
      </c>
      <c r="G9" s="2516" t="s">
        <v>169</v>
      </c>
      <c r="H9" s="2535"/>
      <c r="I9" s="2536"/>
      <c r="J9" s="2442"/>
      <c r="K9" s="1900"/>
      <c r="L9" s="2468" t="s">
        <v>402</v>
      </c>
      <c r="M9" s="2442"/>
      <c r="N9" s="2533" t="s">
        <v>88</v>
      </c>
      <c r="O9" s="2534"/>
      <c r="P9" s="2468" t="s">
        <v>170</v>
      </c>
      <c r="Q9" s="1897"/>
      <c r="R9" s="2468" t="s">
        <v>402</v>
      </c>
      <c r="S9" s="2442"/>
      <c r="T9" s="2533" t="s">
        <v>88</v>
      </c>
      <c r="U9" s="2534"/>
      <c r="V9" s="2468" t="s">
        <v>170</v>
      </c>
      <c r="W9" s="1897"/>
      <c r="X9" s="2468" t="s">
        <v>402</v>
      </c>
      <c r="Y9" s="2442"/>
      <c r="Z9" s="2533" t="s">
        <v>88</v>
      </c>
      <c r="AA9" s="2534"/>
      <c r="AB9" s="2468" t="s">
        <v>403</v>
      </c>
      <c r="AC9" s="1897"/>
      <c r="AD9" s="2468" t="s">
        <v>402</v>
      </c>
      <c r="AE9" s="2442"/>
      <c r="AF9" s="2533" t="s">
        <v>88</v>
      </c>
      <c r="AG9" s="2534"/>
      <c r="AH9" s="2442" t="s">
        <v>403</v>
      </c>
      <c r="AI9" s="2468"/>
      <c r="AJ9" s="1915"/>
      <c r="BM9" s="634">
        <v>22</v>
      </c>
    </row>
    <row customHeight="1" ht="24">
      <c r="D10" s="2516"/>
      <c r="E10" s="2516"/>
      <c r="F10" s="2540"/>
      <c r="G10" s="2540"/>
      <c r="H10" s="2541"/>
      <c r="I10" s="2542"/>
      <c r="J10" s="2533"/>
      <c r="K10" s="1900"/>
      <c r="L10" s="1919" t="s">
        <v>404</v>
      </c>
      <c r="M10" s="1914" t="s">
        <v>405</v>
      </c>
      <c r="N10" s="2535"/>
      <c r="O10" s="2536"/>
      <c r="P10" s="2516"/>
      <c r="Q10" s="1897"/>
      <c r="R10" s="1919" t="s">
        <v>404</v>
      </c>
      <c r="S10" s="1914" t="s">
        <v>405</v>
      </c>
      <c r="T10" s="2535"/>
      <c r="U10" s="2536"/>
      <c r="V10" s="2516"/>
      <c r="W10" s="1897"/>
      <c r="X10" s="1919" t="s">
        <v>404</v>
      </c>
      <c r="Y10" s="1914" t="s">
        <v>405</v>
      </c>
      <c r="Z10" s="2535"/>
      <c r="AA10" s="2536"/>
      <c r="AB10" s="2516"/>
      <c r="AC10" s="1897"/>
      <c r="AD10" s="1919" t="s">
        <v>404</v>
      </c>
      <c r="AE10" s="1914" t="s">
        <v>405</v>
      </c>
      <c r="AF10" s="2535"/>
      <c r="AG10" s="2536"/>
      <c r="AH10" s="2533"/>
      <c r="AI10" s="2516"/>
      <c r="AJ10" s="1915"/>
      <c r="AK10" s="595" t="s">
        <v>406</v>
      </c>
      <c r="AL10" s="595" t="s">
        <v>171</v>
      </c>
      <c r="BM10" s="634">
        <v>23</v>
      </c>
    </row>
    <row customHeight="1" ht="15">
      <c r="D11" s="2524" t="s">
        <v>145</v>
      </c>
      <c r="E11" s="2520" t="s">
        <v>407</v>
      </c>
      <c r="F11" s="2520" t="s">
        <v>408</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22147"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103</v>
      </c>
      <c r="E17" s="2520" t="s">
        <v>407</v>
      </c>
      <c r="F17" s="2520" t="s">
        <v>409</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22147"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407</v>
      </c>
      <c r="F23" s="2520" t="s">
        <v>410</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22147"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407</v>
      </c>
      <c r="F29" s="2520" t="s">
        <v>411</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22147"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116</v>
      </c>
      <c r="E35" s="2520" t="s">
        <v>407</v>
      </c>
      <c r="F35" s="2520" t="s">
        <v>412</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22147"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6A5FA-E83B-BD66-B61E-128AEFA3286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22305" width="15.00390625" hidden="1" customWidth="1"/>
    <col min="2" max="2" style="22262" width="15.00390625" hidden="1" customWidth="1"/>
    <col min="3" max="3" style="22306" width="3.00390625" customWidth="1"/>
    <col min="4" max="4" style="22307" width="6.00390625" customWidth="1"/>
    <col min="5" max="5" style="22306" width="52.00390625" customWidth="1"/>
    <col min="6" max="6" style="22306" width="48.00390625" customWidth="1"/>
    <col min="7" max="7" style="22306" width="121.00390625" customWidth="1"/>
    <col min="8" max="8" style="22306" width="8.00390625" customWidth="1"/>
    <col min="9" max="9" style="22306" width="64.00390625" customWidth="1"/>
    <col min="10" max="10" style="22306" width="9.140625" hidden="1"/>
  </cols>
  <sheetData>
    <row customHeight="1" ht="11.25" hidden="1">
      <c r="A1" s="2027" t="s">
        <v>413</v>
      </c>
      <c r="J1" s="796" t="s">
        <v>14</v>
      </c>
    </row>
    <row customHeight="1" ht="11.25" hidden="1">
      <c r="J2" s="796">
        <v>0</v>
      </c>
    </row>
    <row s="22220" customFormat="1" customHeight="1" ht="11.549999999999999">
      <c r="A3" s="2027"/>
      <c r="B3" s="842"/>
      <c r="D3" s="819"/>
      <c r="J3" s="818">
        <v>11</v>
      </c>
    </row>
    <row customHeight="1" ht="27.299999999999997">
      <c r="D4" s="2498" t="str">
        <f>ORG_INFO_NAME_FORM</f>
        <v>Форма 1. Информация об организации, осуществляющей холодное водоснабжение (общая информация)</v>
      </c>
      <c r="E4" s="2499"/>
      <c r="F4" s="2500"/>
      <c r="I4" s="1056"/>
      <c r="J4" s="796">
        <v>26</v>
      </c>
    </row>
    <row customHeight="1" ht="18">
      <c r="D5" s="2517" t="str">
        <f>IF(org=0,"Не определено",org)</f>
        <v>КГУП "Примтеплоэнерго"</v>
      </c>
      <c r="E5" s="2517"/>
      <c r="F5" s="2517"/>
      <c r="I5" s="1056"/>
      <c r="J5" s="796">
        <v>17</v>
      </c>
    </row>
    <row s="22220"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414</v>
      </c>
      <c r="E8" s="2546"/>
      <c r="F8" s="2546"/>
      <c r="G8" s="2549" t="s">
        <v>415</v>
      </c>
      <c r="J8" s="796">
        <v>11</v>
      </c>
    </row>
    <row customHeight="1" ht="11.549999999999999">
      <c r="A9" s="798"/>
      <c r="B9" s="843"/>
      <c r="C9" s="798"/>
      <c r="D9" s="813" t="s">
        <v>88</v>
      </c>
      <c r="E9" s="787" t="s">
        <v>416</v>
      </c>
      <c r="F9" s="787" t="s">
        <v>417</v>
      </c>
      <c r="G9" s="2550"/>
      <c r="J9" s="796">
        <v>11</v>
      </c>
    </row>
    <row customHeight="1" ht="12" hidden="1">
      <c r="A10" s="798"/>
      <c r="B10" s="843"/>
      <c r="C10" s="798"/>
      <c r="D10" s="805"/>
      <c r="E10" s="805"/>
      <c r="F10" s="805"/>
      <c r="G10" s="805"/>
      <c r="J10" s="796">
        <v>0</v>
      </c>
    </row>
    <row customHeight="1" ht="22.5" hidden="1">
      <c r="A11" s="798"/>
      <c r="B11" s="843"/>
      <c r="C11" s="798"/>
      <c r="D11" s="1350" t="s">
        <v>145</v>
      </c>
      <c r="E11" s="1353" t="s">
        <v>418</v>
      </c>
      <c r="F11" s="1352" t="str">
        <f>IF(region_name="","",region_name)</f>
        <v>Приморский край</v>
      </c>
      <c r="G11" s="1353" t="s">
        <v>419</v>
      </c>
      <c r="H11" s="816"/>
      <c r="J11" s="796">
        <v>0</v>
      </c>
    </row>
    <row customHeight="1" ht="22.5" hidden="1">
      <c r="A12" s="798"/>
      <c r="B12" s="843"/>
      <c r="C12" s="798"/>
      <c r="D12" s="786" t="s">
        <v>145</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4" t="s">
        <v>420</v>
      </c>
      <c r="G12" s="815"/>
      <c r="H12" s="816"/>
      <c r="J12" s="796">
        <v>0</v>
      </c>
    </row>
    <row customHeight="1" ht="23.25">
      <c r="A13" s="798"/>
      <c r="B13" s="843"/>
      <c r="C13" s="798"/>
      <c r="D13" s="786" t="s">
        <v>145</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6"/>
      <c r="J13" s="796">
        <v>22</v>
      </c>
    </row>
    <row customHeight="1" ht="22.5" hidden="1">
      <c r="A14" s="798"/>
      <c r="B14" s="843"/>
      <c r="C14" s="798"/>
      <c r="D14" s="1350" t="s">
        <v>421</v>
      </c>
      <c r="E14" s="1351" t="s">
        <v>422</v>
      </c>
      <c r="F14" s="1352" t="str">
        <f>IF(inn="","",inn)</f>
        <v>2536112729</v>
      </c>
      <c r="G14" s="1353" t="s">
        <v>423</v>
      </c>
      <c r="H14" s="816"/>
      <c r="J14" s="796">
        <v>0</v>
      </c>
    </row>
    <row customHeight="1" ht="22.5" hidden="1">
      <c r="A15" s="798"/>
      <c r="B15" s="843"/>
      <c r="C15" s="798"/>
      <c r="D15" s="1350" t="s">
        <v>424</v>
      </c>
      <c r="E15" s="1351" t="s">
        <v>425</v>
      </c>
      <c r="F15" s="1352" t="str">
        <f>IF(kpp="","",kpp)</f>
        <v>250202002</v>
      </c>
      <c r="G15" s="1353" t="s">
        <v>426</v>
      </c>
      <c r="H15" s="816"/>
      <c r="J15" s="796">
        <v>0</v>
      </c>
    </row>
    <row customHeight="1" ht="39">
      <c r="A16" s="798"/>
      <c r="B16" s="843"/>
      <c r="C16" s="798"/>
      <c r="D16" s="786" t="s">
        <v>103</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427</v>
      </c>
      <c r="B19" s="843"/>
      <c r="C19" s="2554"/>
      <c r="D19" s="786" t="str">
        <f>A19</f>
        <v>5.1</v>
      </c>
      <c r="E19" s="783" t="s">
        <v>428</v>
      </c>
      <c r="F19" s="784" t="s">
        <v>420</v>
      </c>
      <c r="G19" s="785" t="s">
        <v>429</v>
      </c>
      <c r="H19" s="816"/>
      <c r="I19" s="1193"/>
      <c r="J19" s="796">
        <v>0</v>
      </c>
    </row>
    <row customHeight="1" ht="24" hidden="1">
      <c r="A20" s="2543"/>
      <c r="B20" s="843"/>
      <c r="C20" s="2554"/>
      <c r="D20" s="781" t="str">
        <f>D19&amp;".1"</f>
        <v>5.1.1</v>
      </c>
      <c r="E20" s="780" t="s">
        <v>430</v>
      </c>
      <c r="F20" s="1222" t="s">
        <v>28</v>
      </c>
      <c r="G20" s="815"/>
      <c r="H20" s="816"/>
      <c r="I20" s="1193"/>
      <c r="J20" s="796">
        <v>0</v>
      </c>
    </row>
    <row customHeight="1" ht="22.5" hidden="1">
      <c r="A21" s="2543"/>
      <c r="B21" s="843"/>
      <c r="C21" s="2554"/>
      <c r="D21" s="781" t="str">
        <f>D19&amp;".2"</f>
        <v>5.1.2</v>
      </c>
      <c r="E21" s="780" t="s">
        <v>431</v>
      </c>
      <c r="F21" s="2074" t="s">
        <v>28</v>
      </c>
      <c r="G21" s="785" t="s">
        <v>432</v>
      </c>
      <c r="H21" s="816"/>
      <c r="I21" s="1193"/>
      <c r="J21" s="796">
        <v>0</v>
      </c>
    </row>
    <row customHeight="1" ht="22.5" hidden="1">
      <c r="A22" s="2543"/>
      <c r="B22" s="843"/>
      <c r="C22" s="2554"/>
      <c r="D22" s="781" t="str">
        <f>D19&amp;".3"</f>
        <v>5.1.3</v>
      </c>
      <c r="E22" s="780" t="s">
        <v>433</v>
      </c>
      <c r="F22" s="1222" t="s">
        <v>28</v>
      </c>
      <c r="G22" s="815"/>
      <c r="H22" s="816"/>
      <c r="I22" s="1193"/>
      <c r="J22" s="796">
        <v>0</v>
      </c>
    </row>
    <row customHeight="1" ht="22.5" hidden="1">
      <c r="A23" s="2543"/>
      <c r="B23" s="843"/>
      <c r="C23" s="2554"/>
      <c r="D23" s="781" t="str">
        <f>D19&amp;".4"</f>
        <v>5.1.4</v>
      </c>
      <c r="E23" s="780" t="s">
        <v>434</v>
      </c>
      <c r="F23" s="1222" t="s">
        <v>28</v>
      </c>
      <c r="G23" s="785" t="s">
        <v>435</v>
      </c>
      <c r="H23" s="816"/>
      <c r="I23" s="1193"/>
      <c r="J23" s="796">
        <v>0</v>
      </c>
    </row>
    <row customHeight="1" ht="22.5" hidden="1">
      <c r="A24" s="2319"/>
      <c r="B24" s="843"/>
      <c r="C24" s="833"/>
      <c r="D24" s="808"/>
      <c r="E24" s="1509" t="s">
        <v>436</v>
      </c>
      <c r="F24" s="809"/>
      <c r="G24" s="810"/>
      <c r="H24" s="816"/>
      <c r="I24" s="1193"/>
      <c r="J24" s="796">
        <v>0</v>
      </c>
    </row>
    <row s="22262" customFormat="1" customHeight="1" ht="24.75" hidden="1">
      <c r="A25" s="798"/>
      <c r="B25" s="843"/>
      <c r="C25" s="843"/>
      <c r="D25" s="1347" t="s">
        <v>90</v>
      </c>
      <c r="E25" s="1349" t="s">
        <v>437</v>
      </c>
      <c r="F25" s="1354" t="s">
        <v>420</v>
      </c>
      <c r="G25" s="1349"/>
      <c r="J25" s="842">
        <v>0</v>
      </c>
    </row>
    <row s="22262" customFormat="1" customHeight="1" ht="11.25" hidden="1">
      <c r="A26" s="798"/>
      <c r="B26" s="843"/>
      <c r="C26" s="843"/>
      <c r="D26" s="1347" t="s">
        <v>438</v>
      </c>
      <c r="E26" s="1348" t="s">
        <v>439</v>
      </c>
      <c r="F26" s="1354" t="s">
        <v>420</v>
      </c>
      <c r="G26" s="1349"/>
      <c r="J26" s="842">
        <v>0</v>
      </c>
    </row>
    <row s="22262" customFormat="1" customHeight="1" ht="11.25" hidden="1">
      <c r="A27" s="798"/>
      <c r="B27" s="843"/>
      <c r="C27" s="843"/>
      <c r="D27" s="1347" t="s">
        <v>440</v>
      </c>
      <c r="E27" s="1355" t="s">
        <v>441</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842">
        <v>0</v>
      </c>
    </row>
    <row s="22262" customFormat="1" customHeight="1" ht="11.25" hidden="1">
      <c r="A28" s="798"/>
      <c r="B28" s="843"/>
      <c r="C28" s="843"/>
      <c r="D28" s="1347" t="s">
        <v>442</v>
      </c>
      <c r="E28" s="1355" t="s">
        <v>443</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842">
        <v>0</v>
      </c>
    </row>
    <row s="22262" customFormat="1" customHeight="1" ht="11.25" hidden="1">
      <c r="A29" s="798"/>
      <c r="B29" s="843"/>
      <c r="C29" s="843"/>
      <c r="D29" s="1347" t="s">
        <v>444</v>
      </c>
      <c r="E29" s="1355" t="s">
        <v>445</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842">
        <v>0</v>
      </c>
    </row>
    <row s="22262" customFormat="1" customHeight="1" ht="11.25" hidden="1">
      <c r="A30" s="798"/>
      <c r="B30" s="843"/>
      <c r="C30" s="843"/>
      <c r="D30" s="1347" t="s">
        <v>446</v>
      </c>
      <c r="E30" s="1348" t="s">
        <v>447</v>
      </c>
      <c r="F30" s="1356"/>
      <c r="G30" s="1349"/>
      <c r="J30" s="842">
        <v>0</v>
      </c>
    </row>
    <row s="22262" customFormat="1" customHeight="1" ht="11.25" hidden="1">
      <c r="A31" s="798"/>
      <c r="B31" s="843"/>
      <c r="C31" s="843"/>
      <c r="D31" s="1347" t="s">
        <v>448</v>
      </c>
      <c r="E31" s="1348" t="s">
        <v>449</v>
      </c>
      <c r="F31" s="1356"/>
      <c r="G31" s="1349"/>
      <c r="J31" s="842">
        <v>0</v>
      </c>
    </row>
    <row s="22262" customFormat="1" customHeight="1" ht="11.25" hidden="1">
      <c r="A32" s="798"/>
      <c r="B32" s="843"/>
      <c r="C32" s="843"/>
      <c r="D32" s="1347" t="s">
        <v>450</v>
      </c>
      <c r="E32" s="1348" t="s">
        <v>451</v>
      </c>
      <c r="F32" s="1357"/>
      <c r="G32" s="1349"/>
      <c r="J32" s="842">
        <v>0</v>
      </c>
    </row>
    <row customHeight="1" ht="24">
      <c r="A33" s="798" t="str">
        <f>IF(TEMPLATE_SPHERE="HEAT","6","5")</f>
        <v>5</v>
      </c>
      <c r="B33" s="843"/>
      <c r="C33" s="798"/>
      <c r="D33" s="781" t="str">
        <f>A33</f>
        <v>5</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84" t="s">
        <v>420</v>
      </c>
      <c r="G33" s="815"/>
      <c r="H33" s="816"/>
      <c r="J33" s="796">
        <v>23</v>
      </c>
    </row>
    <row customHeight="1" ht="23.25">
      <c r="A34" s="798"/>
      <c r="B34" s="843"/>
      <c r="C34" s="798"/>
      <c r="D34" s="781" t="str">
        <f>D33&amp;".1"</f>
        <v>5.1</v>
      </c>
      <c r="E34" s="783" t="str">
        <f>"фамилия"&amp;IF(TEMPLATE_SPHERE&lt;&gt;"HEAT"," руководителя","")</f>
        <v>фамилия руководителя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16"/>
      <c r="J34" s="796">
        <v>22</v>
      </c>
    </row>
    <row customHeight="1" ht="23.25">
      <c r="A35" s="798"/>
      <c r="B35" s="843"/>
      <c r="C35" s="798"/>
      <c r="D35" s="781" t="str">
        <f>D33&amp;".2"</f>
        <v>5.2</v>
      </c>
      <c r="E35" s="783" t="str">
        <f>"имя"&amp;IF(TEMPLATE_SPHERE&lt;&gt;"HEAT"," руководителя","")</f>
        <v>имя руководителя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16"/>
      <c r="J35" s="796">
        <v>22</v>
      </c>
    </row>
    <row customHeight="1" ht="24">
      <c r="A36" s="798"/>
      <c r="B36" s="843"/>
      <c r="C36" s="798"/>
      <c r="D36" s="781" t="str">
        <f>D33&amp;".3"</f>
        <v>5.3</v>
      </c>
      <c r="E36" s="783" t="str">
        <f>"отчество"&amp;IF(TEMPLATE_SPHERE&lt;&gt;"HEAT"," руководителя","")</f>
        <v>отчество руководителя</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16"/>
      <c r="J36" s="796">
        <v>23</v>
      </c>
    </row>
    <row customHeight="1" ht="35.699999999999996">
      <c r="A37" s="798"/>
      <c r="B37" s="843"/>
      <c r="C37" s="798"/>
      <c r="D37" s="781">
        <f>D33+1</f>
        <v>6</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2"/>
      <c r="G37" s="785" t="s">
        <v>452</v>
      </c>
      <c r="H37" s="816"/>
      <c r="J37" s="796">
        <v>34</v>
      </c>
    </row>
    <row customHeight="1" ht="35.699999999999996">
      <c r="A38" s="798"/>
      <c r="B38" s="843"/>
      <c r="C38" s="798"/>
      <c r="D38" s="781">
        <f>D37+1</f>
        <v>7</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2"/>
      <c r="G38" s="785" t="s">
        <v>452</v>
      </c>
      <c r="H38" s="816"/>
      <c r="J38" s="796">
        <v>34</v>
      </c>
    </row>
    <row customHeight="1" ht="23.25">
      <c r="A39" s="798"/>
      <c r="B39" s="843"/>
      <c r="C39" s="798"/>
      <c r="D39" s="781">
        <f>D38+1</f>
        <v>8</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84" t="s">
        <v>420</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8.0</v>
      </c>
      <c r="E40" s="1946"/>
      <c r="F40" s="1222"/>
      <c r="G40" s="2552"/>
      <c r="H40" s="816"/>
      <c r="J40" s="796">
        <v>0</v>
      </c>
    </row>
    <row customHeight="1" ht="23.25">
      <c r="A41" s="798"/>
      <c r="B41" s="798"/>
      <c r="C41" s="2029"/>
      <c r="D41" s="781" t="str">
        <f>D39&amp;".1"</f>
        <v>8.1</v>
      </c>
      <c r="E41" s="1201"/>
      <c r="F41" s="1202"/>
      <c r="G41" s="2552"/>
      <c r="H41" s="816"/>
      <c r="J41" s="796">
        <v>22</v>
      </c>
    </row>
    <row customHeight="1" ht="15.75">
      <c r="A42" s="798"/>
      <c r="B42" s="843"/>
      <c r="C42" s="798"/>
      <c r="D42" s="808"/>
      <c r="E42" s="756" t="s">
        <v>453</v>
      </c>
      <c r="F42" s="810"/>
      <c r="G42" s="2553"/>
      <c r="H42" s="817"/>
      <c r="J42" s="796">
        <v>15</v>
      </c>
    </row>
    <row customHeight="1" ht="27.299999999999997">
      <c r="A43" s="798"/>
      <c r="B43" s="843"/>
      <c r="C43" s="798"/>
      <c r="D43" s="781">
        <f>D39+1</f>
        <v>9</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10</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19"/>
      <c r="G44" s="815" t="s">
        <v>454</v>
      </c>
      <c r="H44" s="816"/>
      <c r="J44" s="796">
        <v>22</v>
      </c>
    </row>
    <row customHeight="1" ht="23.25">
      <c r="A45" s="798"/>
      <c r="B45" s="843"/>
      <c r="C45" s="798"/>
      <c r="D45" s="781">
        <f>D44+1</f>
        <v>11</v>
      </c>
      <c r="E45" s="779" t="s">
        <v>455</v>
      </c>
      <c r="F45" s="784" t="s">
        <v>420</v>
      </c>
      <c r="G45" s="778" t="str">
        <f>IF(TEMPLATE_SPHERE="TKO","Указывается режим работы организации.","")</f>
        <v/>
      </c>
      <c r="H45" s="816"/>
      <c r="J45" s="796">
        <v>22</v>
      </c>
    </row>
    <row customHeight="1" ht="24">
      <c r="A46" s="798"/>
      <c r="B46" s="843"/>
      <c r="C46" s="798"/>
      <c r="D46" s="781" t="str">
        <f>D45&amp;".1"</f>
        <v>11.1</v>
      </c>
      <c r="E46" s="783" t="str">
        <f>"режим работы регулируемой организации"&amp;IF(TEMPLATE_SPHERE="HEAT",", ЕТО, ТО","")</f>
        <v>режим работы регулируемой организации</v>
      </c>
      <c r="F46" s="2025"/>
      <c r="G46" s="778" t="s">
        <v>456</v>
      </c>
      <c r="H46" s="816"/>
      <c r="J46" s="796">
        <v>23</v>
      </c>
    </row>
    <row customHeight="1" ht="24">
      <c r="A47" s="2543"/>
      <c r="B47" s="843"/>
      <c r="C47" s="833"/>
      <c r="D47" s="781" t="str">
        <f>D45&amp;".2"</f>
        <v>11.2</v>
      </c>
      <c r="E47" s="783" t="s">
        <v>457</v>
      </c>
      <c r="F47" s="831"/>
      <c r="G47" s="778" t="s">
        <v>458</v>
      </c>
      <c r="H47" s="816"/>
      <c r="J47" s="796">
        <v>23</v>
      </c>
    </row>
    <row customHeight="1" ht="24">
      <c r="A48" s="2543"/>
      <c r="B48" s="843"/>
      <c r="C48" s="833"/>
      <c r="D48" s="781" t="str">
        <f>D45&amp;".3"</f>
        <v>11.3</v>
      </c>
      <c r="E48" s="783" t="s">
        <v>459</v>
      </c>
      <c r="F48" s="831"/>
      <c r="G48" s="778" t="s">
        <v>460</v>
      </c>
      <c r="H48" s="816"/>
      <c r="J48" s="796">
        <v>23</v>
      </c>
    </row>
    <row customHeight="1" ht="24">
      <c r="A49" s="2543"/>
      <c r="B49" s="843"/>
      <c r="C49" s="833"/>
      <c r="D49" s="781" t="str">
        <f>IF(TEMPLATE_SPHERE="TKO",D45&amp;".0",D45&amp;".4")</f>
        <v>11.4</v>
      </c>
      <c r="E49" s="777" t="s">
        <v>461</v>
      </c>
      <c r="F49" s="2026"/>
      <c r="G49" s="2103" t="s">
        <v>462</v>
      </c>
      <c r="H49" s="816"/>
      <c r="J49" s="796">
        <v>23</v>
      </c>
    </row>
    <row customHeight="1" ht="24">
      <c r="A50" s="798"/>
      <c r="B50" s="843"/>
      <c r="C50" s="798"/>
      <c r="D50" s="808"/>
      <c r="E50" s="756" t="s">
        <v>463</v>
      </c>
      <c r="F50" s="809"/>
      <c r="G50" s="2103" t="s">
        <v>464</v>
      </c>
      <c r="H50" s="817"/>
      <c r="J50" s="796">
        <v>23</v>
      </c>
    </row>
    <row customHeight="1" ht="24">
      <c r="A51" s="1199"/>
      <c r="B51" s="843"/>
      <c r="C51" s="833"/>
      <c r="D51" s="781">
        <f>D45+1</f>
        <v>12</v>
      </c>
      <c r="E51" s="869" t="s">
        <v>465</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16"/>
      <c r="J51" s="796">
        <v>23</v>
      </c>
    </row>
    <row customHeight="1" ht="11.549999999999999">
      <c r="A52" s="798"/>
      <c r="B52" s="843"/>
      <c r="C52" s="798"/>
      <c r="J52" s="796">
        <v>11</v>
      </c>
    </row>
    <row s="22291"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7"/>
      <c r="F53" s="2547"/>
      <c r="G53" s="2547"/>
      <c r="H53" s="795"/>
      <c r="I53" s="795"/>
      <c r="J53" s="801">
        <v>30</v>
      </c>
    </row>
    <row s="22291" customFormat="1" customHeight="1" ht="42">
      <c r="A54" s="798"/>
      <c r="B54" s="843"/>
      <c r="C54" s="2544"/>
      <c r="D54" s="254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FBAED-7F4C-6B83-1484-67312ADF101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1569" width="9.140625" hidden="1" customWidth="1"/>
    <col min="2" max="2" style="21605" width="9.140625" hidden="1" customWidth="1"/>
    <col min="3" max="3" style="21787" width="3.00390625" customWidth="1"/>
    <col min="4" max="4" style="21605" width="5.00390625" customWidth="1"/>
    <col min="5" max="5" style="21605" width="48.00390625" customWidth="1"/>
    <col min="6" max="6" style="21605" width="38.00390625" customWidth="1"/>
    <col min="7" max="7" style="21605" width="1.7109375" hidden="1" customWidth="1"/>
    <col min="8" max="11" style="21605" width="19.8515625" hidden="1" customWidth="1"/>
    <col min="12" max="12" style="21605" width="9.7109375" hidden="1" customWidth="1"/>
    <col min="13" max="18" style="21605" width="19.8515625" hidden="1" customWidth="1"/>
    <col min="19" max="19" style="21605" width="1.7109375" hidden="1" customWidth="1"/>
    <col min="20" max="22" style="21605" width="19.8515625" hidden="1" customWidth="1"/>
    <col min="23" max="23" style="21605" width="1.7109375" hidden="1" customWidth="1"/>
    <col min="24" max="26" style="21605" width="19.8515625" customWidth="1"/>
    <col min="27" max="27" style="21605" width="1.7109375" hidden="1" customWidth="1"/>
    <col min="28" max="29" style="21605" width="19.8515625" hidden="1" customWidth="1"/>
    <col min="30" max="30" style="21605" width="1.7109375" hidden="1" customWidth="1"/>
    <col min="31" max="32" style="21605" width="103.7109375" hidden="1" customWidth="1"/>
    <col min="33" max="33" style="21605" width="103.7109375" customWidth="1"/>
    <col min="34" max="34" style="21605" width="103.7109375" hidden="1" customWidth="1"/>
    <col min="35" max="35" style="21703" width="3.00390625" customWidth="1"/>
    <col min="36" max="38" style="21688" width="10.00390625" customWidth="1"/>
    <col min="39" max="39" style="21688" width="13.7109375" hidden="1" customWidth="1"/>
    <col min="40" max="40" style="21688" width="15.00390625" customWidth="1"/>
    <col min="41" max="41" style="21688" width="16.00390625" customWidth="1"/>
    <col min="42" max="45" style="21688" width="10.00390625" customWidth="1"/>
    <col min="46" max="46" style="21605" width="10.57421875" hidden="1"/>
  </cols>
  <sheetData>
    <row customHeight="1" ht="22.5" hidden="1">
      <c r="E1" s="753"/>
      <c r="F1" s="753"/>
      <c r="G1" s="753"/>
      <c r="H1" s="2558" t="s">
        <v>466</v>
      </c>
      <c r="I1" s="2558"/>
      <c r="J1" s="2558"/>
      <c r="K1" s="2558"/>
      <c r="L1" s="2558"/>
      <c r="M1" s="2558"/>
      <c r="N1" s="2558"/>
      <c r="O1" s="2558"/>
      <c r="P1" s="2558"/>
      <c r="Q1" s="2558"/>
      <c r="R1" s="2558"/>
      <c r="T1" s="2558" t="s">
        <v>467</v>
      </c>
      <c r="U1" s="2558"/>
      <c r="V1" s="2558"/>
      <c r="X1" s="2558" t="s">
        <v>468</v>
      </c>
      <c r="Y1" s="2558"/>
      <c r="Z1" s="2558"/>
      <c r="AB1" s="2558" t="s">
        <v>469</v>
      </c>
      <c r="AC1" s="2558"/>
      <c r="AT1" s="788" t="s">
        <v>14</v>
      </c>
    </row>
    <row customHeight="1" ht="14.25" hidden="1">
      <c r="AT2" s="788">
        <v>0</v>
      </c>
    </row>
    <row s="22309" customFormat="1" customHeight="1" ht="5.25">
      <c r="C3" s="1042"/>
      <c r="D3" s="1043"/>
      <c r="E3" s="1043"/>
      <c r="F3" s="1043"/>
      <c r="G3" s="1043"/>
      <c r="H3" s="1043" t="s">
        <v>470</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1. Информация об организации, осуществляющей холодное водоснабжение (общая информация)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21605" customFormat="1" customHeight="1" ht="18">
      <c r="A5" s="1100"/>
      <c r="C5" s="1163"/>
      <c r="D5" s="2555" t="str">
        <f>IF(org=0,"Не определено",org)</f>
        <v>КГУП "Примтеплоэнерго"</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21580"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414</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415</v>
      </c>
      <c r="AF7" s="2564" t="s">
        <v>415</v>
      </c>
      <c r="AG7" s="2564" t="s">
        <v>415</v>
      </c>
      <c r="AH7" s="2564" t="s">
        <v>415</v>
      </c>
      <c r="AT7" s="788">
        <v>14</v>
      </c>
    </row>
    <row customHeight="1" ht="27.299999999999997">
      <c r="C8" s="791"/>
      <c r="D8" s="2468" t="s">
        <v>88</v>
      </c>
      <c r="E8" s="2564" t="str">
        <f>"Наименование "&amp;IF(TEMPLATE_SPHERE&lt;&gt;"HEAT","централизованной ","")&amp;"системы "&amp;TEMPLATE_SPHERE_RUS</f>
        <v>Наименование централизованной системы холодного водоснабжения</v>
      </c>
      <c r="F8" s="2564" t="str">
        <f>IF(TEMPLATE_SPHERE&lt;&gt;"HEAT","Регулируемый вид деятельности","Вид регулируемой деятельности")</f>
        <v>Регулируемый вид деятельности</v>
      </c>
      <c r="G8" s="1169"/>
      <c r="H8" s="2565" t="s">
        <v>471</v>
      </c>
      <c r="I8" s="2567" t="s">
        <v>472</v>
      </c>
      <c r="J8" s="2564" t="s">
        <v>473</v>
      </c>
      <c r="K8" s="2564"/>
      <c r="L8" s="2564"/>
      <c r="M8" s="2559"/>
      <c r="N8" s="2564" t="s">
        <v>474</v>
      </c>
      <c r="O8" s="2564"/>
      <c r="P8" s="2564" t="s">
        <v>475</v>
      </c>
      <c r="Q8" s="2564"/>
      <c r="R8" s="2571" t="s">
        <v>476</v>
      </c>
      <c r="S8" s="1165"/>
      <c r="T8" s="2569" t="s">
        <v>477</v>
      </c>
      <c r="U8" s="2569" t="s">
        <v>478</v>
      </c>
      <c r="V8" s="2569" t="s">
        <v>479</v>
      </c>
      <c r="W8" s="1167"/>
      <c r="X8" s="2569" t="s">
        <v>480</v>
      </c>
      <c r="Y8" s="2569" t="s">
        <v>481</v>
      </c>
      <c r="Z8" s="2569" t="s">
        <v>482</v>
      </c>
      <c r="AA8" s="1167"/>
      <c r="AB8" s="2569" t="s">
        <v>483</v>
      </c>
      <c r="AC8" s="2569" t="s">
        <v>476</v>
      </c>
      <c r="AD8" s="1167"/>
      <c r="AE8" s="2564"/>
      <c r="AF8" s="2564"/>
      <c r="AG8" s="2564"/>
      <c r="AH8" s="2564"/>
      <c r="AT8" s="788">
        <v>26</v>
      </c>
    </row>
    <row customHeight="1" ht="46.199999999999996">
      <c r="C9" s="791"/>
      <c r="D9" s="2468"/>
      <c r="E9" s="2564"/>
      <c r="F9" s="2564"/>
      <c r="G9" s="1170"/>
      <c r="H9" s="2566"/>
      <c r="I9" s="2568"/>
      <c r="J9" s="766" t="s">
        <v>484</v>
      </c>
      <c r="K9" s="766" t="s">
        <v>485</v>
      </c>
      <c r="L9" s="766" t="s">
        <v>486</v>
      </c>
      <c r="M9" s="772" t="s">
        <v>487</v>
      </c>
      <c r="N9" s="766" t="s">
        <v>488</v>
      </c>
      <c r="O9" s="766" t="s">
        <v>487</v>
      </c>
      <c r="P9" s="766" t="s">
        <v>489</v>
      </c>
      <c r="Q9" s="766" t="s">
        <v>487</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22350" customFormat="1" customHeight="1" ht="11.25" hidden="1">
      <c r="C11" s="839"/>
      <c r="D11" s="840" t="s">
        <v>490</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145</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491</v>
      </c>
      <c r="AF12" s="2562" t="s">
        <v>492</v>
      </c>
      <c r="AG12" s="2562" t="s">
        <v>493</v>
      </c>
      <c r="AH12" s="2562" t="s">
        <v>494</v>
      </c>
      <c r="AI12" s="788"/>
      <c r="AM12" s="852"/>
      <c r="AP12" s="841" t="s">
        <v>495</v>
      </c>
      <c r="AQ12" s="841" t="s">
        <v>495</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159BA-76D3-250B-C497-E63AF50CE39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1569" width="9.140625" hidden="1" customWidth="1"/>
    <col min="2" max="2" style="21605" width="9.140625" hidden="1" customWidth="1"/>
    <col min="3" max="3" style="21787" width="3.00390625" customWidth="1"/>
    <col min="4" max="4" style="21605" width="5.00390625" customWidth="1"/>
    <col min="5" max="5" style="21605" width="38.00390625" customWidth="1"/>
    <col min="6" max="7" style="21605" width="3.00390625" customWidth="1"/>
    <col min="8" max="8" style="21605" width="38.00390625" customWidth="1"/>
    <col min="9" max="9" style="21605" width="35.00390625" customWidth="1"/>
    <col min="10" max="10" style="21605" width="103.00390625" customWidth="1"/>
    <col min="11" max="11" style="21703" width="3.00390625" customWidth="1"/>
    <col min="12" max="14" style="21688" width="10.00390625" customWidth="1"/>
    <col min="15" max="15" style="21688" width="13.00390625" customWidth="1"/>
    <col min="16" max="16" style="21688" width="15.00390625" customWidth="1"/>
    <col min="17" max="17" style="21688" width="16.00390625" customWidth="1"/>
    <col min="18" max="21" style="21688" width="10.00390625" customWidth="1"/>
    <col min="22" max="22" style="21605" width="10.57421875" hidden="1"/>
  </cols>
  <sheetData>
    <row customHeight="1" ht="22.5" hidden="1">
      <c r="E1" s="753"/>
      <c r="F1" s="753"/>
      <c r="G1" s="753"/>
      <c r="H1" s="2558" t="s">
        <v>466</v>
      </c>
      <c r="I1" s="2558"/>
      <c r="V1" s="1948" t="s">
        <v>14</v>
      </c>
    </row>
    <row s="21605" customFormat="1" customHeight="1" ht="14.25" hidden="1">
      <c r="C2" s="1960"/>
      <c r="D2" s="2574" t="s">
        <v>145</v>
      </c>
      <c r="E2" s="2576"/>
      <c r="F2" s="1966"/>
      <c r="G2" s="1961" t="s">
        <v>145</v>
      </c>
      <c r="H2" s="1964"/>
      <c r="I2" s="1962"/>
      <c r="L2" s="1963"/>
      <c r="M2" s="1963"/>
      <c r="N2" s="1963"/>
      <c r="O2" s="1963" t="s">
        <v>496</v>
      </c>
      <c r="P2" s="1963"/>
      <c r="Q2" s="1963"/>
      <c r="R2" s="1965" t="s">
        <v>495</v>
      </c>
      <c r="S2" s="1965" t="s">
        <v>495</v>
      </c>
      <c r="T2" s="1963"/>
      <c r="U2" s="1963"/>
      <c r="V2" s="1959">
        <v>0</v>
      </c>
    </row>
    <row s="21605" customFormat="1" customHeight="1" ht="14.25" hidden="1">
      <c r="C3" s="1960"/>
      <c r="D3" s="2575"/>
      <c r="E3" s="2577"/>
      <c r="F3" s="746"/>
      <c r="G3" s="1210"/>
      <c r="H3" s="1210" t="s">
        <v>497</v>
      </c>
      <c r="I3" s="654"/>
      <c r="L3" s="1963"/>
      <c r="M3" s="1963"/>
      <c r="N3" s="1963"/>
      <c r="O3" s="1963"/>
      <c r="P3" s="1963"/>
      <c r="Q3" s="1963"/>
      <c r="R3" s="1965"/>
      <c r="S3" s="1965"/>
      <c r="T3" s="1963"/>
      <c r="U3" s="1963"/>
      <c r="V3" s="1959">
        <v>0</v>
      </c>
    </row>
    <row customHeight="1" ht="14.25" hidden="1">
      <c r="V4" s="1948">
        <v>0</v>
      </c>
    </row>
    <row s="22309" customFormat="1" customHeight="1" ht="5.25">
      <c r="C5" s="1042"/>
      <c r="D5" s="1043"/>
      <c r="E5" s="1043"/>
      <c r="F5" s="1043"/>
      <c r="G5" s="1043"/>
      <c r="H5" s="1043" t="s">
        <v>470</v>
      </c>
      <c r="I5" s="1043"/>
      <c r="J5" s="1043"/>
      <c r="L5" s="1955"/>
      <c r="M5" s="1955"/>
      <c r="N5" s="1955"/>
      <c r="O5" s="1955"/>
      <c r="P5" s="1955"/>
      <c r="Q5" s="1955"/>
      <c r="R5" s="1955"/>
      <c r="S5" s="1955"/>
      <c r="T5" s="1955"/>
      <c r="U5" s="1955"/>
      <c r="V5" s="1954">
        <v>5</v>
      </c>
    </row>
    <row customHeight="1" ht="29.25">
      <c r="C6" s="1857"/>
      <c r="D6" s="2578" t="s">
        <v>498</v>
      </c>
      <c r="E6" s="2578"/>
      <c r="F6" s="2578"/>
      <c r="G6" s="2578"/>
      <c r="H6" s="2578"/>
      <c r="I6" s="2578"/>
      <c r="J6" s="832"/>
      <c r="K6" s="1956"/>
      <c r="V6" s="1948">
        <v>28</v>
      </c>
    </row>
    <row customHeight="1" ht="18">
      <c r="C7" s="1857"/>
      <c r="D7" s="2517" t="str">
        <f>IF(org=0,"Не определено",org)</f>
        <v>КГУП "Примтеплоэнерго"</v>
      </c>
      <c r="E7" s="2517"/>
      <c r="F7" s="2517"/>
      <c r="G7" s="2517"/>
      <c r="H7" s="2517"/>
      <c r="I7" s="2517"/>
      <c r="J7" s="832"/>
      <c r="K7" s="1956"/>
      <c r="V7" s="1948">
        <v>17</v>
      </c>
    </row>
    <row s="21580"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21580"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414</v>
      </c>
      <c r="E10" s="2560"/>
      <c r="F10" s="2560"/>
      <c r="G10" s="2560"/>
      <c r="H10" s="2560"/>
      <c r="I10" s="2560"/>
      <c r="J10" s="2564" t="s">
        <v>415</v>
      </c>
      <c r="V10" s="1948">
        <v>14</v>
      </c>
    </row>
    <row customHeight="1" ht="27.299999999999997">
      <c r="C11" s="1857"/>
      <c r="D11" s="2468" t="s">
        <v>88</v>
      </c>
      <c r="E11" s="2564" t="s">
        <v>150</v>
      </c>
      <c r="F11" s="2533" t="s">
        <v>88</v>
      </c>
      <c r="G11" s="2534"/>
      <c r="H11" s="2516" t="s">
        <v>499</v>
      </c>
      <c r="I11" s="2516" t="s">
        <v>500</v>
      </c>
      <c r="J11" s="2564"/>
      <c r="V11" s="1948">
        <v>26</v>
      </c>
    </row>
    <row customHeight="1" ht="14.699999999999998">
      <c r="C12" s="1857"/>
      <c r="D12" s="2468"/>
      <c r="E12" s="2564"/>
      <c r="F12" s="2541"/>
      <c r="G12" s="2542"/>
      <c r="H12" s="2573"/>
      <c r="I12" s="2573"/>
      <c r="J12" s="2564"/>
      <c r="V12" s="1948">
        <v>14</v>
      </c>
    </row>
    <row s="22350" customFormat="1" customHeight="1" ht="11.25" hidden="1">
      <c r="C13" s="839"/>
      <c r="D13" s="840" t="s">
        <v>490</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145</v>
      </c>
      <c r="E14" s="2576"/>
      <c r="F14" s="1958"/>
      <c r="G14" s="1957" t="s">
        <v>145</v>
      </c>
      <c r="H14" s="1964"/>
      <c r="I14" s="1962"/>
      <c r="J14" s="2510" t="s">
        <v>501</v>
      </c>
      <c r="K14" s="1948"/>
      <c r="R14" s="841" t="s">
        <v>495</v>
      </c>
      <c r="S14" s="841" t="s">
        <v>495</v>
      </c>
      <c r="V14" s="1948">
        <v>14</v>
      </c>
    </row>
    <row customHeight="1" ht="14.699999999999998">
      <c r="A15" s="1948"/>
      <c r="C15" s="1857"/>
      <c r="D15" s="2575"/>
      <c r="E15" s="2577"/>
      <c r="F15" s="746"/>
      <c r="G15" s="1210"/>
      <c r="H15" s="1210" t="s">
        <v>497</v>
      </c>
      <c r="I15" s="654"/>
      <c r="J15" s="2511"/>
      <c r="K15" s="1948"/>
      <c r="R15" s="841"/>
      <c r="S15" s="841"/>
      <c r="V15" s="1948">
        <v>14</v>
      </c>
    </row>
    <row customHeight="1" ht="14.699999999999998">
      <c r="A16" s="1948"/>
      <c r="C16" s="1857"/>
      <c r="D16" s="746"/>
      <c r="E16" s="1210" t="s">
        <v>162</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4E5C-847F-5799-F1C9-5B40607C1B2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1569" width="9.140625" hidden="1" customWidth="1"/>
    <col min="2" max="3" style="21605" width="9.140625" hidden="1" customWidth="1"/>
    <col min="4" max="4" style="21787" width="3.00390625" customWidth="1"/>
    <col min="5" max="5" style="21605" width="6.00390625" customWidth="1"/>
    <col min="6" max="6" style="21605" width="1.7109375" hidden="1" customWidth="1"/>
    <col min="7" max="8" style="21605" width="30.00390625" customWidth="1"/>
    <col min="9" max="9" style="21605" width="8.00390625" customWidth="1"/>
    <col min="10" max="10" style="21605" width="12.140625" customWidth="1"/>
    <col min="11" max="11" style="21605" width="46.00390625" customWidth="1"/>
    <col min="12" max="12" style="21605" width="100.00390625" customWidth="1"/>
    <col min="13" max="13" style="21703" width="7.00390625" customWidth="1"/>
    <col min="14" max="22" style="21605" width="10.00390625" customWidth="1"/>
    <col min="23" max="23" style="21605" width="10.57421875" hidden="1"/>
  </cols>
  <sheetData>
    <row s="21688" customFormat="1" customHeight="1" ht="5.25" hidden="1">
      <c r="C1" s="852"/>
      <c r="D1" s="835"/>
      <c r="F1" s="852"/>
      <c r="G1" s="830" t="s">
        <v>83</v>
      </c>
      <c r="H1" s="830" t="s">
        <v>84</v>
      </c>
      <c r="I1" s="830" t="s">
        <v>85</v>
      </c>
      <c r="P1" s="830" t="s">
        <v>83</v>
      </c>
      <c r="Q1" s="830" t="s">
        <v>84</v>
      </c>
      <c r="R1" s="830" t="s">
        <v>85</v>
      </c>
      <c r="W1" s="830" t="s">
        <v>14</v>
      </c>
    </row>
    <row s="21688" customFormat="1" customHeight="1" ht="5.25" hidden="1">
      <c r="C2" s="852"/>
      <c r="D2" s="835"/>
      <c r="F2" s="852"/>
      <c r="W2" s="830">
        <v>0</v>
      </c>
    </row>
    <row s="21580" customFormat="1" customHeight="1" ht="5.25">
      <c r="A3" s="820"/>
      <c r="D3" s="827"/>
      <c r="E3" s="822"/>
      <c r="F3" s="822"/>
      <c r="G3" s="822"/>
      <c r="H3" s="822"/>
      <c r="I3" s="823"/>
      <c r="J3" s="824"/>
      <c r="K3" s="824"/>
      <c r="L3" s="824"/>
      <c r="W3" s="821">
        <v>5</v>
      </c>
    </row>
    <row customHeight="1" ht="23.25">
      <c r="D4" s="791"/>
      <c r="E4" s="2579" t="s">
        <v>502</v>
      </c>
      <c r="F4" s="2579"/>
      <c r="G4" s="2580"/>
      <c r="H4" s="2580"/>
      <c r="I4" s="2581"/>
      <c r="J4" s="832"/>
      <c r="K4" s="794"/>
      <c r="L4" s="794"/>
      <c r="W4" s="788">
        <v>22</v>
      </c>
    </row>
    <row s="21605" customFormat="1" customHeight="1" ht="18">
      <c r="A5" s="1100"/>
      <c r="D5" s="1163"/>
      <c r="E5" s="2555" t="str">
        <f>IF(org=0,"Не определено",org)</f>
        <v>КГУП "Примтеплоэнерго"</v>
      </c>
      <c r="F5" s="2555"/>
      <c r="G5" s="2556"/>
      <c r="H5" s="2556"/>
      <c r="I5" s="2557"/>
      <c r="J5" s="832"/>
      <c r="K5" s="794"/>
      <c r="L5" s="794"/>
      <c r="M5" s="848"/>
      <c r="W5" s="1099">
        <v>17</v>
      </c>
    </row>
    <row s="21580" customFormat="1" customHeight="1" ht="11.549999999999999">
      <c r="A6" s="820"/>
      <c r="D6" s="827"/>
      <c r="E6" s="822"/>
      <c r="F6" s="822"/>
      <c r="G6" s="825"/>
      <c r="H6" s="825"/>
      <c r="I6" s="826"/>
      <c r="J6" s="826"/>
      <c r="K6" s="1093"/>
      <c r="L6" s="826"/>
      <c r="W6" s="821">
        <v>11</v>
      </c>
    </row>
    <row customHeight="1" ht="14.699999999999998">
      <c r="D7" s="791"/>
      <c r="E7" s="2549" t="s">
        <v>414</v>
      </c>
      <c r="F7" s="2549"/>
      <c r="G7" s="2550"/>
      <c r="H7" s="2550"/>
      <c r="I7" s="2550"/>
      <c r="J7" s="2550"/>
      <c r="K7" s="2550"/>
      <c r="L7" s="2564" t="s">
        <v>415</v>
      </c>
      <c r="W7" s="788">
        <v>14</v>
      </c>
    </row>
    <row customHeight="1" ht="48.29999999999999">
      <c r="D8" s="791"/>
      <c r="E8" s="814" t="s">
        <v>88</v>
      </c>
      <c r="F8" s="1164"/>
      <c r="G8" s="806" t="s">
        <v>86</v>
      </c>
      <c r="H8" s="806" t="s">
        <v>87</v>
      </c>
      <c r="I8" s="755" t="s">
        <v>85</v>
      </c>
      <c r="J8" s="755" t="s">
        <v>503</v>
      </c>
      <c r="K8" s="755" t="s">
        <v>504</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505</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21580" customFormat="1" customHeight="1" ht="15">
      <c r="A12" s="2440"/>
      <c r="B12" s="845"/>
      <c r="C12" s="845"/>
      <c r="D12" s="1207"/>
      <c r="E12" s="1164">
        <v>1</v>
      </c>
      <c r="F12" s="1205">
        <v>23</v>
      </c>
      <c r="G12" s="1204"/>
      <c r="H12" s="1134"/>
      <c r="I12" s="1132"/>
      <c r="J12" s="861" t="s">
        <v>66</v>
      </c>
      <c r="K12" s="1505" t="s">
        <v>28</v>
      </c>
      <c r="L12" s="2582"/>
      <c r="M12" s="852"/>
      <c r="N12" s="852"/>
      <c r="O12" s="852"/>
      <c r="P12" s="857" t="s">
        <v>506</v>
      </c>
      <c r="Q12" s="857" t="s">
        <v>507</v>
      </c>
      <c r="R12" s="858" t="s">
        <v>508</v>
      </c>
      <c r="S12" s="852" t="s">
        <v>509</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81EE-57A8-7EC7-CFF3-2E24C4FEC6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517</v>
      </c>
      <c r="M6" s="878"/>
      <c r="P6" s="2598">
        <v>1</v>
      </c>
      <c r="Q6" s="1646"/>
      <c r="R6" s="697"/>
      <c r="S6" s="1650">
        <f>$I6</f>
      </c>
      <c r="T6" s="626" t="s">
        <v>518</v>
      </c>
      <c r="U6" s="641"/>
      <c r="V6" s="2586"/>
      <c r="W6" s="2587"/>
      <c r="X6" s="2587"/>
      <c r="Y6" s="2587"/>
      <c r="Z6" s="2587"/>
      <c r="AA6" s="2587"/>
      <c r="AB6" s="2587"/>
      <c r="AC6" s="2588"/>
      <c r="AD6" s="2586"/>
      <c r="AE6" s="2587"/>
      <c r="AF6" s="2587"/>
      <c r="AG6" s="2587"/>
      <c r="AH6" s="2587"/>
      <c r="AI6" s="2587"/>
      <c r="AJ6" s="2587"/>
      <c r="AK6" s="2587"/>
      <c r="AL6" s="2588"/>
      <c r="AM6" s="1599" t="s">
        <v>519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520</v>
      </c>
      <c r="M7" s="878"/>
      <c r="N7" s="1707"/>
      <c r="P7" s="2598"/>
      <c r="Q7" s="2598">
        <v>1</v>
      </c>
      <c r="R7" s="698"/>
      <c r="S7" s="1650">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523</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527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2168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14.2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18.7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496">
        <v>14</v>
      </c>
    </row>
    <row customHeight="1" ht="35.699999999999996">
      <c r="Q40" s="717"/>
      <c r="R40" s="717"/>
      <c r="S40" s="2614"/>
      <c r="T40" s="2550"/>
      <c r="U40" s="1372"/>
      <c r="V40" s="2601" t="s">
        <v>545</v>
      </c>
      <c r="W40" s="2951" t="s">
        <v>546</v>
      </c>
      <c r="X40" s="2603" t="s">
        <v>547</v>
      </c>
      <c r="Y40" s="2604"/>
      <c r="Z40" s="2603" t="s">
        <v>548</v>
      </c>
      <c r="AA40" s="2610"/>
      <c r="AB40" s="2604"/>
      <c r="AC40" s="2619"/>
      <c r="AD40" s="2601" t="s">
        <v>545</v>
      </c>
      <c r="AE40" s="2624" t="s">
        <v>546</v>
      </c>
      <c r="AF40" s="2603" t="s">
        <v>547</v>
      </c>
      <c r="AG40" s="2604"/>
      <c r="AH40" s="2603" t="s">
        <v>548</v>
      </c>
      <c r="AI40" s="2610"/>
      <c r="AJ40" s="2604"/>
      <c r="AK40" s="2619"/>
      <c r="AL40" s="2622"/>
      <c r="AM40" s="2468"/>
      <c r="AS40" s="1496">
        <v>34</v>
      </c>
    </row>
    <row customHeight="1" ht="35.699999999999996">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Q41" s="717"/>
      <c r="R41" s="717"/>
      <c r="S41" s="2614"/>
      <c r="T41" s="2550"/>
      <c r="U41" s="643"/>
      <c r="V41" s="2602"/>
      <c r="W41" s="2625"/>
      <c r="X41" s="1563" t="s">
        <v>556</v>
      </c>
      <c r="Y41" s="1563" t="s">
        <v>557</v>
      </c>
      <c r="Z41" s="1562" t="s">
        <v>558</v>
      </c>
      <c r="AA41" s="2611" t="s">
        <v>559</v>
      </c>
      <c r="AB41" s="2612"/>
      <c r="AC41" s="2620"/>
      <c r="AD41" s="2602"/>
      <c r="AE41" s="2625"/>
      <c r="AF41" s="1563" t="s">
        <v>556</v>
      </c>
      <c r="AG41" s="1563" t="s">
        <v>557</v>
      </c>
      <c r="AH41" s="1654" t="s">
        <v>558</v>
      </c>
      <c r="AI41" s="2611" t="s">
        <v>559</v>
      </c>
      <c r="AJ41" s="2612"/>
      <c r="AK41" s="2620"/>
      <c r="AL41" s="2623"/>
      <c r="AM41" s="2468"/>
      <c r="AS41" s="1496">
        <v>34</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194</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194</v>
      </c>
      <c r="B44" s="1704" t="s">
        <v>195</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23</v>
      </c>
    </row>
    <row customHeight="1" ht="24">
      <c r="A45" s="1704" t="s">
        <v>194</v>
      </c>
      <c r="B45" s="1704" t="s">
        <v>195</v>
      </c>
      <c r="C45" s="1704" t="s">
        <v>196</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4">
      <c r="A46" s="1704" t="s">
        <v>194</v>
      </c>
      <c r="B46" s="1704" t="s">
        <v>195</v>
      </c>
      <c r="C46" s="1704" t="s">
        <v>196</v>
      </c>
      <c r="D46" s="1704" t="s">
        <v>197</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23</v>
      </c>
    </row>
    <row customHeight="1" ht="49.5">
      <c r="A47" s="1704" t="s">
        <v>194</v>
      </c>
      <c r="B47" s="1704" t="s">
        <v>195</v>
      </c>
      <c r="C47" s="1704" t="s">
        <v>196</v>
      </c>
      <c r="D47" s="1704" t="s">
        <v>197</v>
      </c>
      <c r="E47" s="2600"/>
      <c r="F47" s="2600"/>
      <c r="G47" s="2600"/>
      <c r="H47" s="2600"/>
      <c r="I47" s="2597" t="str">
        <f>S46&amp;".1"</f>
        <v>....1</v>
      </c>
      <c r="J47" s="1704"/>
      <c r="K47" s="1704"/>
      <c r="L47" s="1705" t="s">
        <v>517</v>
      </c>
      <c r="P47" s="2598">
        <v>1</v>
      </c>
      <c r="Q47" s="1561"/>
      <c r="R47" s="697"/>
      <c r="S47" s="1565" t="str">
        <f>$I47</f>
        <v>....1</v>
      </c>
      <c r="T47" s="626" t="s">
        <v>518</v>
      </c>
      <c r="U47" s="641"/>
      <c r="V47" s="2586"/>
      <c r="W47" s="2587"/>
      <c r="X47" s="2587"/>
      <c r="Y47" s="2587"/>
      <c r="Z47" s="2587"/>
      <c r="AA47" s="2587"/>
      <c r="AB47" s="2587"/>
      <c r="AC47" s="2588"/>
      <c r="AD47" s="2586"/>
      <c r="AE47" s="2587"/>
      <c r="AF47" s="2587"/>
      <c r="AG47" s="2587"/>
      <c r="AH47" s="2587"/>
      <c r="AI47" s="2587"/>
      <c r="AJ47" s="2587"/>
      <c r="AK47" s="2587"/>
      <c r="AL47" s="2588"/>
      <c r="AM47" s="1599" t="s">
        <v>519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194</v>
      </c>
      <c r="B48" s="1704" t="s">
        <v>195</v>
      </c>
      <c r="C48" s="1704" t="s">
        <v>196</v>
      </c>
      <c r="D48" s="1704" t="s">
        <v>197</v>
      </c>
      <c r="E48" s="2600"/>
      <c r="F48" s="2600"/>
      <c r="G48" s="2600"/>
      <c r="H48" s="2600"/>
      <c r="I48" s="2627"/>
      <c r="J48" s="2597" t="str">
        <f>I47&amp;".1"</f>
        <v>....1.1</v>
      </c>
      <c r="K48" s="1704"/>
      <c r="L48" s="1705" t="s">
        <v>520</v>
      </c>
      <c r="P48" s="2598"/>
      <c r="Q48" s="2598">
        <v>1</v>
      </c>
      <c r="R48" s="698"/>
      <c r="S48" s="1565" t="str">
        <f>$J48</f>
        <v>....1.1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23</v>
      </c>
    </row>
    <row customHeight="1" ht="24">
      <c r="A49" s="1704" t="s">
        <v>194</v>
      </c>
      <c r="B49" s="1704" t="s">
        <v>195</v>
      </c>
      <c r="C49" s="1704" t="s">
        <v>196</v>
      </c>
      <c r="D49" s="1704" t="s">
        <v>197</v>
      </c>
      <c r="E49" s="2600"/>
      <c r="F49" s="2600"/>
      <c r="G49" s="2600"/>
      <c r="H49" s="2600"/>
      <c r="I49" s="2627"/>
      <c r="J49" s="2627"/>
      <c r="K49" s="2597" t="str">
        <f>J48&amp;".1"</f>
        <v>....1.1.1</v>
      </c>
      <c r="L49" s="1705" t="s">
        <v>523</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524</v>
      </c>
      <c r="AN49" s="852">
        <f>STRCHECKDATE(V50:AL50)</f>
      </c>
      <c r="AO49" s="841"/>
      <c r="AP49" s="841" t="str">
        <f>IF(T49="","",T49)</f>
        <v/>
      </c>
      <c r="AQ49" s="841"/>
      <c r="AR49" s="841"/>
      <c r="AS49" s="1496">
        <v>23</v>
      </c>
    </row>
    <row customHeight="1" ht="1.05">
      <c r="A50" s="1704" t="s">
        <v>194</v>
      </c>
      <c r="B50" s="1704" t="s">
        <v>195</v>
      </c>
      <c r="C50" s="1704" t="s">
        <v>196</v>
      </c>
      <c r="D50" s="1704" t="s">
        <v>197</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194</v>
      </c>
      <c r="B51" s="1704" t="s">
        <v>195</v>
      </c>
      <c r="C51" s="1704" t="s">
        <v>196</v>
      </c>
      <c r="D51" s="1704" t="s">
        <v>197</v>
      </c>
      <c r="E51" s="2600"/>
      <c r="F51" s="2600"/>
      <c r="G51" s="2600"/>
      <c r="H51" s="2600"/>
      <c r="I51" s="2627"/>
      <c r="J51" s="2597"/>
      <c r="K51" s="1704"/>
      <c r="L51" s="1705"/>
      <c r="P51" s="2598"/>
      <c r="Q51" s="2598"/>
      <c r="R51" s="697"/>
      <c r="S51" s="1619"/>
      <c r="T51" s="629"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194</v>
      </c>
      <c r="B52" s="1704" t="s">
        <v>195</v>
      </c>
      <c r="C52" s="1704" t="s">
        <v>196</v>
      </c>
      <c r="D52" s="1704" t="s">
        <v>197</v>
      </c>
      <c r="E52" s="2600"/>
      <c r="F52" s="2600"/>
      <c r="G52" s="2600"/>
      <c r="H52" s="2600"/>
      <c r="I52" s="2597"/>
      <c r="J52" s="1704"/>
      <c r="K52" s="1704"/>
      <c r="L52" s="1705"/>
      <c r="P52" s="2598"/>
      <c r="Q52" s="1561"/>
      <c r="R52" s="697"/>
      <c r="S52" s="1619"/>
      <c r="T52" s="628"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194</v>
      </c>
      <c r="B53" s="1704" t="s">
        <v>195</v>
      </c>
      <c r="C53" s="1704" t="s">
        <v>196</v>
      </c>
      <c r="D53" s="1704" t="s">
        <v>197</v>
      </c>
      <c r="E53" s="2600"/>
      <c r="F53" s="2600"/>
      <c r="G53" s="2600"/>
      <c r="H53" s="2599"/>
      <c r="I53" s="1704"/>
      <c r="J53" s="1704"/>
      <c r="K53" s="1704"/>
      <c r="L53" s="1705"/>
      <c r="M53" s="1706"/>
      <c r="N53" s="1706"/>
      <c r="O53" s="878"/>
      <c r="P53" s="701"/>
      <c r="Q53" s="716"/>
      <c r="R53" s="696"/>
      <c r="S53" s="1619"/>
      <c r="T53" s="706" t="s">
        <v>527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21688" customFormat="1" customHeight="1" ht="1.05">
      <c r="A54" s="1684" t="s">
        <v>194</v>
      </c>
      <c r="B54" s="1684" t="s">
        <v>195</v>
      </c>
      <c r="C54" s="1684" t="s">
        <v>196</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688" customFormat="1" customHeight="1" ht="1.05">
      <c r="A55" s="1684" t="s">
        <v>194</v>
      </c>
      <c r="B55" s="1684" t="s">
        <v>195</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688" customFormat="1" customHeight="1" ht="1.05">
      <c r="A56" s="1684" t="s">
        <v>194</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68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1E72-800A-ECE2-9D2C-F317B959B4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517</v>
      </c>
      <c r="M6" s="878"/>
      <c r="P6" s="2598">
        <v>1</v>
      </c>
      <c r="Q6" s="1672"/>
      <c r="R6" s="697"/>
      <c r="S6" s="1677">
        <f>$I6</f>
      </c>
      <c r="T6" s="626" t="s">
        <v>518</v>
      </c>
      <c r="U6" s="641"/>
      <c r="V6" s="2586"/>
      <c r="W6" s="2587"/>
      <c r="X6" s="2587"/>
      <c r="Y6" s="2587"/>
      <c r="Z6" s="2587"/>
      <c r="AA6" s="2587"/>
      <c r="AB6" s="2587"/>
      <c r="AC6" s="2588"/>
      <c r="AD6" s="2586"/>
      <c r="AE6" s="2587"/>
      <c r="AF6" s="2587"/>
      <c r="AG6" s="2587"/>
      <c r="AH6" s="2587"/>
      <c r="AI6" s="2587"/>
      <c r="AJ6" s="2587"/>
      <c r="AK6" s="2587"/>
      <c r="AL6" s="2588"/>
      <c r="AM6" s="1599" t="s">
        <v>519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520</v>
      </c>
      <c r="M7" s="878"/>
      <c r="N7" s="1707"/>
      <c r="P7" s="2598"/>
      <c r="Q7" s="2598">
        <v>1</v>
      </c>
      <c r="R7" s="698"/>
      <c r="S7" s="1677">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523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527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2168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14.2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18.7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496">
        <v>14</v>
      </c>
    </row>
    <row customHeight="1" ht="35.699999999999996">
      <c r="Q40" s="717"/>
      <c r="R40" s="717"/>
      <c r="S40" s="2614"/>
      <c r="T40" s="2550"/>
      <c r="U40" s="1372"/>
      <c r="V40" s="2601" t="s">
        <v>545</v>
      </c>
      <c r="W40" s="2624" t="s">
        <v>546</v>
      </c>
      <c r="X40" s="2603" t="s">
        <v>547</v>
      </c>
      <c r="Y40" s="2604"/>
      <c r="Z40" s="2603" t="s">
        <v>560</v>
      </c>
      <c r="AA40" s="2610"/>
      <c r="AB40" s="2604"/>
      <c r="AC40" s="2619"/>
      <c r="AD40" s="2601" t="s">
        <v>545</v>
      </c>
      <c r="AE40" s="2624" t="s">
        <v>546</v>
      </c>
      <c r="AF40" s="2603" t="s">
        <v>547</v>
      </c>
      <c r="AG40" s="2604"/>
      <c r="AH40" s="2603" t="s">
        <v>548</v>
      </c>
      <c r="AI40" s="2610"/>
      <c r="AJ40" s="2604"/>
      <c r="AK40" s="2619"/>
      <c r="AL40" s="2622"/>
      <c r="AM40" s="2468"/>
      <c r="AS40" s="1496">
        <v>34</v>
      </c>
    </row>
    <row customHeight="1" ht="35.699999999999996">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Q41" s="717"/>
      <c r="R41" s="717"/>
      <c r="S41" s="2614"/>
      <c r="T41" s="2550"/>
      <c r="U41" s="643"/>
      <c r="V41" s="2602"/>
      <c r="W41" s="2625"/>
      <c r="X41" s="1563" t="s">
        <v>556</v>
      </c>
      <c r="Y41" s="1563" t="s">
        <v>557</v>
      </c>
      <c r="Z41" s="1679" t="s">
        <v>558</v>
      </c>
      <c r="AA41" s="2611" t="s">
        <v>559</v>
      </c>
      <c r="AB41" s="2612"/>
      <c r="AC41" s="2620"/>
      <c r="AD41" s="2602"/>
      <c r="AE41" s="2625"/>
      <c r="AF41" s="1563" t="s">
        <v>556</v>
      </c>
      <c r="AG41" s="1563" t="s">
        <v>557</v>
      </c>
      <c r="AH41" s="1679" t="s">
        <v>558</v>
      </c>
      <c r="AI41" s="2611" t="s">
        <v>559</v>
      </c>
      <c r="AJ41" s="2612"/>
      <c r="AK41" s="2620"/>
      <c r="AL41" s="2623"/>
      <c r="AM41" s="2468"/>
      <c r="AS41" s="1496">
        <v>34</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199</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199</v>
      </c>
      <c r="B44" s="1704" t="s">
        <v>200</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21</v>
      </c>
    </row>
    <row customHeight="1" ht="24">
      <c r="A45" s="1704" t="s">
        <v>199</v>
      </c>
      <c r="B45" s="1704" t="s">
        <v>200</v>
      </c>
      <c r="C45" s="1704" t="s">
        <v>201</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2.049999999999997">
      <c r="A46" s="1704" t="s">
        <v>199</v>
      </c>
      <c r="B46" s="1704" t="s">
        <v>200</v>
      </c>
      <c r="C46" s="1704" t="s">
        <v>201</v>
      </c>
      <c r="D46" s="1704" t="s">
        <v>202</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21</v>
      </c>
    </row>
    <row customHeight="1" ht="49.5">
      <c r="A47" s="1704" t="s">
        <v>199</v>
      </c>
      <c r="B47" s="1704" t="s">
        <v>200</v>
      </c>
      <c r="C47" s="1704" t="s">
        <v>201</v>
      </c>
      <c r="D47" s="1704" t="s">
        <v>202</v>
      </c>
      <c r="E47" s="2600"/>
      <c r="F47" s="2600"/>
      <c r="G47" s="2600"/>
      <c r="H47" s="2600"/>
      <c r="I47" s="2597" t="str">
        <f>S46&amp;".1"</f>
        <v>....1</v>
      </c>
      <c r="J47" s="1704"/>
      <c r="K47" s="1704"/>
      <c r="L47" s="1705" t="s">
        <v>517</v>
      </c>
      <c r="P47" s="2598">
        <v>1</v>
      </c>
      <c r="Q47" s="1672"/>
      <c r="R47" s="697"/>
      <c r="S47" s="1677" t="str">
        <f>$I47</f>
        <v>....1</v>
      </c>
      <c r="T47" s="626" t="s">
        <v>518</v>
      </c>
      <c r="U47" s="641"/>
      <c r="V47" s="2586"/>
      <c r="W47" s="2587"/>
      <c r="X47" s="2587"/>
      <c r="Y47" s="2587"/>
      <c r="Z47" s="2587"/>
      <c r="AA47" s="2587"/>
      <c r="AB47" s="2587"/>
      <c r="AC47" s="2588"/>
      <c r="AD47" s="2586"/>
      <c r="AE47" s="2587"/>
      <c r="AF47" s="2587"/>
      <c r="AG47" s="2587"/>
      <c r="AH47" s="2587"/>
      <c r="AI47" s="2587"/>
      <c r="AJ47" s="2587"/>
      <c r="AK47" s="2587"/>
      <c r="AL47" s="2588"/>
      <c r="AM47" s="1599" t="s">
        <v>519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199</v>
      </c>
      <c r="B48" s="1704" t="s">
        <v>200</v>
      </c>
      <c r="C48" s="1704" t="s">
        <v>201</v>
      </c>
      <c r="D48" s="1704" t="s">
        <v>202</v>
      </c>
      <c r="E48" s="2600"/>
      <c r="F48" s="2600"/>
      <c r="G48" s="2600"/>
      <c r="H48" s="2600"/>
      <c r="I48" s="2627"/>
      <c r="J48" s="2597" t="str">
        <f>I47&amp;".1"</f>
        <v>....1.1</v>
      </c>
      <c r="K48" s="1704"/>
      <c r="L48" s="1705" t="s">
        <v>520</v>
      </c>
      <c r="P48" s="2598"/>
      <c r="Q48" s="2598">
        <v>1</v>
      </c>
      <c r="R48" s="698"/>
      <c r="S48" s="1677" t="str">
        <f>$J48</f>
        <v>....1.1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21</v>
      </c>
    </row>
    <row customHeight="1" ht="22.049999999999997">
      <c r="A49" s="1704" t="s">
        <v>199</v>
      </c>
      <c r="B49" s="1704" t="s">
        <v>200</v>
      </c>
      <c r="C49" s="1704" t="s">
        <v>201</v>
      </c>
      <c r="D49" s="1704" t="s">
        <v>202</v>
      </c>
      <c r="E49" s="2600"/>
      <c r="F49" s="2600"/>
      <c r="G49" s="2600"/>
      <c r="H49" s="2600"/>
      <c r="I49" s="2627"/>
      <c r="J49" s="2627"/>
      <c r="K49" s="2597" t="str">
        <f>J48&amp;".1"</f>
        <v>....1.1.1</v>
      </c>
      <c r="L49" s="1705" t="s">
        <v>523</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524</v>
      </c>
      <c r="AN49" s="852">
        <f>STRCHECKDATE(V50:AL50)</f>
      </c>
      <c r="AO49" s="841"/>
      <c r="AP49" s="841" t="str">
        <f>IF(T49="","",T49)</f>
        <v/>
      </c>
      <c r="AQ49" s="841"/>
      <c r="AR49" s="841"/>
      <c r="AS49" s="1496">
        <v>21</v>
      </c>
    </row>
    <row customHeight="1" ht="1.05">
      <c r="A50" s="1704" t="s">
        <v>199</v>
      </c>
      <c r="B50" s="1704" t="s">
        <v>200</v>
      </c>
      <c r="C50" s="1704" t="s">
        <v>201</v>
      </c>
      <c r="D50" s="1704" t="s">
        <v>202</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199</v>
      </c>
      <c r="B51" s="1704" t="s">
        <v>200</v>
      </c>
      <c r="C51" s="1704" t="s">
        <v>201</v>
      </c>
      <c r="D51" s="1704" t="s">
        <v>202</v>
      </c>
      <c r="E51" s="2600"/>
      <c r="F51" s="2600"/>
      <c r="G51" s="2600"/>
      <c r="H51" s="2600"/>
      <c r="I51" s="2627"/>
      <c r="J51" s="2597"/>
      <c r="K51" s="1704"/>
      <c r="L51" s="1705"/>
      <c r="P51" s="2598"/>
      <c r="Q51" s="2598"/>
      <c r="R51" s="697"/>
      <c r="S51" s="1619"/>
      <c r="T51" s="629"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199</v>
      </c>
      <c r="B52" s="1704" t="s">
        <v>200</v>
      </c>
      <c r="C52" s="1704" t="s">
        <v>201</v>
      </c>
      <c r="D52" s="1704" t="s">
        <v>202</v>
      </c>
      <c r="E52" s="2600"/>
      <c r="F52" s="2600"/>
      <c r="G52" s="2600"/>
      <c r="H52" s="2600"/>
      <c r="I52" s="2597"/>
      <c r="J52" s="1704"/>
      <c r="K52" s="1704"/>
      <c r="L52" s="1705"/>
      <c r="P52" s="2598"/>
      <c r="Q52" s="1672"/>
      <c r="R52" s="697"/>
      <c r="S52" s="1619"/>
      <c r="T52" s="628"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199</v>
      </c>
      <c r="B53" s="1704" t="s">
        <v>200</v>
      </c>
      <c r="C53" s="1704" t="s">
        <v>201</v>
      </c>
      <c r="D53" s="1704" t="s">
        <v>202</v>
      </c>
      <c r="E53" s="2600"/>
      <c r="F53" s="2600"/>
      <c r="G53" s="2600"/>
      <c r="H53" s="2599"/>
      <c r="I53" s="1704"/>
      <c r="J53" s="1704"/>
      <c r="K53" s="1704"/>
      <c r="L53" s="1705"/>
      <c r="M53" s="1706"/>
      <c r="N53" s="1706"/>
      <c r="O53" s="878"/>
      <c r="P53" s="701"/>
      <c r="Q53" s="716"/>
      <c r="R53" s="696"/>
      <c r="S53" s="1619"/>
      <c r="T53" s="706" t="s">
        <v>527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21688" customFormat="1" customHeight="1" ht="1.05">
      <c r="A54" s="1684" t="s">
        <v>199</v>
      </c>
      <c r="B54" s="1684" t="s">
        <v>200</v>
      </c>
      <c r="C54" s="1684" t="s">
        <v>201</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688" customFormat="1" customHeight="1" ht="1.05">
      <c r="A55" s="1684" t="s">
        <v>199</v>
      </c>
      <c r="B55" s="1684" t="s">
        <v>200</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688" customFormat="1" customHeight="1" ht="1.05">
      <c r="A56" s="1684" t="s">
        <v>199</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68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C28A5-2D58-12AD-A1C6-90DD4D63AC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1605" width="10.57421875" hidden="1"/>
    <col min="2" max="2" style="21605" width="11.00390625" hidden="1" customWidth="1"/>
    <col min="3" max="3" style="21605" width="10.57421875" hidden="1"/>
    <col min="4" max="4" style="21605" width="11.8515625" hidden="1" customWidth="1"/>
    <col min="5" max="5" style="21605" width="10.00390625" hidden="1" customWidth="1"/>
    <col min="6" max="6" style="21605" width="8.7109375" hidden="1" customWidth="1"/>
    <col min="7" max="7" style="21605" width="7.57421875" hidden="1" customWidth="1"/>
    <col min="8" max="8" style="21605" width="11.421875" hidden="1" customWidth="1"/>
    <col min="9" max="9" style="21605" width="12.00390625" hidden="1" customWidth="1"/>
    <col min="10" max="10" style="21605" width="9.8515625" hidden="1" customWidth="1"/>
    <col min="11" max="11" style="21605" width="11.421875" hidden="1" customWidth="1"/>
    <col min="12" max="12" style="21685" width="19.140625" hidden="1" customWidth="1"/>
    <col min="13" max="14" style="22594" width="12.28125" hidden="1" customWidth="1"/>
    <col min="15" max="15" style="22594" width="23.421875" hidden="1" customWidth="1"/>
    <col min="16" max="16" style="22594" width="3.00390625"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517</v>
      </c>
      <c r="M6" s="1976"/>
      <c r="P6" s="2598">
        <v>1</v>
      </c>
      <c r="Q6" s="2295"/>
      <c r="R6" s="697"/>
      <c r="S6" s="2299">
        <f>$I6</f>
      </c>
      <c r="T6" s="626" t="s">
        <v>518</v>
      </c>
      <c r="U6" s="641"/>
      <c r="V6" s="2586"/>
      <c r="W6" s="2587"/>
      <c r="X6" s="2587"/>
      <c r="Y6" s="2587"/>
      <c r="Z6" s="2587"/>
      <c r="AA6" s="2587"/>
      <c r="AB6" s="2587"/>
      <c r="AC6" s="2588"/>
      <c r="AD6" s="2586"/>
      <c r="AE6" s="2587"/>
      <c r="AF6" s="2587"/>
      <c r="AG6" s="2587"/>
      <c r="AH6" s="2587"/>
      <c r="AI6" s="2587"/>
      <c r="AJ6" s="2587"/>
      <c r="AK6" s="2587"/>
      <c r="AL6" s="2588"/>
      <c r="AM6" s="1599" t="s">
        <v>519</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520</v>
      </c>
      <c r="M7" s="1976"/>
      <c r="N7" s="1972"/>
      <c r="P7" s="2598"/>
      <c r="Q7" s="2598">
        <v>1</v>
      </c>
      <c r="R7" s="698"/>
      <c r="S7" s="2299">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523</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525</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526</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527</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21688"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21688"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21688"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21687" customFormat="1" customHeight="1" ht="14.25" hidden="1">
      <c r="A20" s="1972"/>
      <c r="B20" s="1972"/>
      <c r="C20" s="1972"/>
      <c r="D20" s="1972"/>
      <c r="E20" s="1972"/>
      <c r="F20" s="1972"/>
      <c r="G20" s="1972"/>
      <c r="H20" s="1972"/>
      <c r="I20" s="1972"/>
      <c r="J20" s="1972"/>
      <c r="K20" s="1972"/>
      <c r="L20" s="2280"/>
      <c r="M20" s="2306"/>
      <c r="N20" s="2306"/>
      <c r="O20" s="1686" t="s">
        <v>529</v>
      </c>
      <c r="P20" s="1703"/>
      <c r="Q20" s="1712"/>
      <c r="R20" s="1712"/>
      <c r="S20" s="1070"/>
      <c r="Z20" s="1708"/>
      <c r="AB20" s="1708"/>
      <c r="AH20" s="1708"/>
      <c r="AJ20" s="1708"/>
      <c r="AN20" s="1977"/>
      <c r="AO20" s="1977"/>
      <c r="AP20" s="1977"/>
      <c r="AQ20" s="1977"/>
      <c r="AR20" s="1977"/>
      <c r="AS20" s="1707">
        <v>0</v>
      </c>
    </row>
    <row s="21687"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21687" customFormat="1" customHeight="1" ht="14.25" hidden="1">
      <c r="A22" s="1972"/>
      <c r="B22" s="1972"/>
      <c r="C22" s="1972"/>
      <c r="D22" s="1972"/>
      <c r="E22" s="1972"/>
      <c r="F22" s="1972"/>
      <c r="G22" s="1972"/>
      <c r="H22" s="1972"/>
      <c r="I22" s="1972"/>
      <c r="J22" s="1972"/>
      <c r="K22" s="1972"/>
      <c r="L22" s="2280"/>
      <c r="M22" s="2306"/>
      <c r="N22" s="2306"/>
      <c r="O22" s="1651" t="s">
        <v>530</v>
      </c>
      <c r="P22" s="1703"/>
      <c r="Q22" s="1712"/>
      <c r="R22" s="1712"/>
      <c r="S22" s="1070"/>
      <c r="T22" s="1707" t="s">
        <v>531</v>
      </c>
      <c r="AA22" s="936" t="s">
        <v>532</v>
      </c>
      <c r="AC22" s="936" t="s">
        <v>533</v>
      </c>
      <c r="AD22" s="1707" t="s">
        <v>531</v>
      </c>
      <c r="AI22" s="936" t="s">
        <v>534</v>
      </c>
      <c r="AK22" s="936" t="s">
        <v>533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2182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21825" customFormat="1" customHeight="1" ht="18.75" hidden="1">
      <c r="A30" s="1589"/>
      <c r="B30" s="1589"/>
      <c r="C30" s="1589"/>
      <c r="D30" s="1589"/>
      <c r="E30" s="1589"/>
      <c r="F30" s="1589"/>
      <c r="G30" s="1589"/>
      <c r="H30" s="1589"/>
      <c r="I30" s="1589"/>
      <c r="J30" s="1589"/>
      <c r="K30" s="1589"/>
      <c r="L30" s="1721"/>
      <c r="M30" s="1589"/>
      <c r="N30" s="1589"/>
      <c r="O30" s="1589"/>
      <c r="S30" s="2591" t="s">
        <v>535</v>
      </c>
      <c r="T30" s="2591"/>
      <c r="U30" s="1713"/>
      <c r="V30" s="2605" t="str">
        <f>IF(TITLE_DATE_PR_CHANGE="",IF(TITLE_DATE_PR="","",TITLE_DATE_PR),TITLE_DATE_PR_CHANGE)</f>
        <v>45408.52040509259</v>
      </c>
      <c r="W30" s="2605"/>
      <c r="X30" s="2605"/>
      <c r="Y30" s="2605"/>
      <c r="Z30" s="2605"/>
      <c r="AA30" s="2605"/>
      <c r="AB30" s="2605"/>
      <c r="AC30" s="1976"/>
      <c r="AD30" s="2605" t="str">
        <f>IF(TITLE_DATE_PR_CHANGE="",IF(TITLE_DATE_PR="","",TITLE_DATE_PR),TITLE_DATE_PR_CHANGE)</f>
        <v>45408.52040509259</v>
      </c>
      <c r="AE30" s="2605"/>
      <c r="AF30" s="2605"/>
      <c r="AG30" s="2605"/>
      <c r="AH30" s="2605"/>
      <c r="AI30" s="2605"/>
      <c r="AJ30" s="2605"/>
      <c r="AK30" s="1976"/>
      <c r="AL30" s="1976"/>
      <c r="AM30" s="621"/>
      <c r="AN30" s="709"/>
      <c r="AO30" s="709"/>
      <c r="AP30" s="709"/>
      <c r="AQ30" s="709"/>
      <c r="AR30" s="709"/>
      <c r="AS30" s="759">
        <v>0</v>
      </c>
    </row>
    <row s="21825" customFormat="1" customHeight="1" ht="18.75" hidden="1">
      <c r="A31" s="1589"/>
      <c r="B31" s="1589"/>
      <c r="C31" s="1589"/>
      <c r="D31" s="1589"/>
      <c r="E31" s="1589"/>
      <c r="F31" s="1589"/>
      <c r="G31" s="1589"/>
      <c r="H31" s="1589"/>
      <c r="I31" s="1589"/>
      <c r="J31" s="1589"/>
      <c r="K31" s="1589"/>
      <c r="L31" s="1721"/>
      <c r="M31" s="1589"/>
      <c r="N31" s="1589"/>
      <c r="O31" s="1589"/>
      <c r="S31" s="2591" t="s">
        <v>536</v>
      </c>
      <c r="T31" s="2591"/>
      <c r="U31" s="1713"/>
      <c r="V31" s="2592" t="str">
        <f>IF(TITLE_NUMBER_PR_CHANGE="",IF(TITLE_NUMBER_PR="","",TITLE_NUMBER_PR),TITLE_NUMBER_PR_CHANGE)</f>
        <v>27-2139</v>
      </c>
      <c r="W31" s="2592"/>
      <c r="X31" s="2592"/>
      <c r="Y31" s="2592"/>
      <c r="Z31" s="2592"/>
      <c r="AA31" s="2592"/>
      <c r="AB31" s="2592"/>
      <c r="AC31" s="1976"/>
      <c r="AD31" s="2592" t="str">
        <f>IF(TITLE_NUMBER_PR_CHANGE="",IF(TITLE_NUMBER_PR="","",TITLE_NUMBER_PR),TITLE_NUMBER_PR_CHANGE)</f>
        <v>27-2139</v>
      </c>
      <c r="AE31" s="2592"/>
      <c r="AF31" s="2592"/>
      <c r="AG31" s="2592"/>
      <c r="AH31" s="2592"/>
      <c r="AI31" s="2592"/>
      <c r="AJ31" s="2592"/>
      <c r="AK31" s="1976"/>
      <c r="AL31" s="1976"/>
      <c r="AM31" s="621"/>
      <c r="AN31" s="709"/>
      <c r="AO31" s="709"/>
      <c r="AP31" s="709"/>
      <c r="AQ31" s="709"/>
      <c r="AR31" s="709"/>
      <c r="AS31" s="759">
        <v>0</v>
      </c>
    </row>
    <row s="2182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21825" customFormat="1" customHeight="1" ht="18.75" hidden="1">
      <c r="A34" s="1589"/>
      <c r="B34" s="1589"/>
      <c r="C34" s="1589"/>
      <c r="D34" s="1589"/>
      <c r="E34" s="1589"/>
      <c r="F34" s="1589"/>
      <c r="G34" s="1589"/>
      <c r="H34" s="1589"/>
      <c r="I34" s="1589"/>
      <c r="J34" s="1589"/>
      <c r="K34" s="1589"/>
      <c r="L34" s="1721"/>
      <c r="M34" s="1589"/>
      <c r="N34" s="1589"/>
      <c r="O34" s="1589"/>
      <c r="S34" s="2591" t="s">
        <v>537</v>
      </c>
      <c r="T34" s="2591"/>
      <c r="U34" s="1713"/>
      <c r="V34" s="2605" t="str">
        <f>IF(TITLE_DATE_PR_CHANGE="",IF(TITLE_DATE_PR="","",TITLE_DATE_PR),TITLE_DATE_PR_CHANGE)</f>
        <v>45408.52040509259</v>
      </c>
      <c r="W34" s="2605"/>
      <c r="X34" s="2605"/>
      <c r="Y34" s="2605"/>
      <c r="Z34" s="2605"/>
      <c r="AA34" s="2605"/>
      <c r="AB34" s="2605"/>
      <c r="AC34" s="1976"/>
      <c r="AD34" s="2605" t="str">
        <f>IF(TITLE_DATE_PR_CHANGE="",IF(TITLE_DATE_PR="","",TITLE_DATE_PR),TITLE_DATE_PR_CHANGE)</f>
        <v>45408.52040509259</v>
      </c>
      <c r="AE34" s="2605"/>
      <c r="AF34" s="2605"/>
      <c r="AG34" s="2605"/>
      <c r="AH34" s="2605"/>
      <c r="AI34" s="2605"/>
      <c r="AJ34" s="2605"/>
      <c r="AK34" s="1976"/>
      <c r="AL34" s="1976"/>
      <c r="AM34" s="621"/>
      <c r="AN34" s="709"/>
      <c r="AO34" s="709"/>
      <c r="AP34" s="709"/>
      <c r="AQ34" s="709"/>
      <c r="AR34" s="709"/>
      <c r="AS34" s="759">
        <v>0</v>
      </c>
    </row>
    <row s="21825" customFormat="1" customHeight="1" ht="18.75" hidden="1">
      <c r="A35" s="1589"/>
      <c r="B35" s="1589"/>
      <c r="C35" s="1589"/>
      <c r="D35" s="1589"/>
      <c r="E35" s="1589"/>
      <c r="F35" s="1589"/>
      <c r="G35" s="1589"/>
      <c r="H35" s="1589"/>
      <c r="I35" s="1589"/>
      <c r="J35" s="1589"/>
      <c r="K35" s="1589"/>
      <c r="L35" s="1721"/>
      <c r="M35" s="1589"/>
      <c r="N35" s="1589"/>
      <c r="O35" s="1589"/>
      <c r="S35" s="2591" t="s">
        <v>538</v>
      </c>
      <c r="T35" s="2591"/>
      <c r="U35" s="1713"/>
      <c r="V35" s="2592" t="str">
        <f>IF(TITLE_NUMBER_PR_CHANGE="",IF(TITLE_NUMBER_PR="","",TITLE_NUMBER_PR),TITLE_NUMBER_PR_CHANGE)</f>
        <v>27-2139</v>
      </c>
      <c r="W35" s="2592"/>
      <c r="X35" s="2592"/>
      <c r="Y35" s="2592"/>
      <c r="Z35" s="2592"/>
      <c r="AA35" s="2592"/>
      <c r="AB35" s="2592"/>
      <c r="AC35" s="1976"/>
      <c r="AD35" s="2592" t="str">
        <f>IF(TITLE_NUMBER_PR_CHANGE="",IF(TITLE_NUMBER_PR="","",TITLE_NUMBER_PR),TITLE_NUMBER_PR_CHANGE)</f>
        <v>27-2139</v>
      </c>
      <c r="AE35" s="2592"/>
      <c r="AF35" s="2592"/>
      <c r="AG35" s="2592"/>
      <c r="AH35" s="2592"/>
      <c r="AI35" s="2592"/>
      <c r="AJ35" s="2592"/>
      <c r="AK35" s="1976"/>
      <c r="AL35" s="1976"/>
      <c r="AM35" s="621"/>
      <c r="AN35" s="709"/>
      <c r="AO35" s="709"/>
      <c r="AP35" s="709"/>
      <c r="AQ35" s="709"/>
      <c r="AR35" s="709"/>
      <c r="AS35" s="759">
        <v>0</v>
      </c>
    </row>
    <row s="2182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539</v>
      </c>
      <c r="AD36" s="1976"/>
      <c r="AE36" s="1976"/>
      <c r="AF36" s="1976"/>
      <c r="AG36" s="1976"/>
      <c r="AH36" s="1976"/>
      <c r="AI36" s="1976"/>
      <c r="AJ36" s="1976"/>
      <c r="AK36" s="1983" t="s">
        <v>539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972">
        <v>14</v>
      </c>
    </row>
    <row customHeight="1" ht="14.699999999999998">
      <c r="Q39" s="717"/>
      <c r="R39" s="717"/>
      <c r="S39" s="2614" t="s">
        <v>88</v>
      </c>
      <c r="T39" s="2550" t="s">
        <v>540</v>
      </c>
      <c r="U39" s="678"/>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972">
        <v>14</v>
      </c>
    </row>
    <row customHeight="1" ht="35.699999999999996">
      <c r="Q40" s="717"/>
      <c r="R40" s="717"/>
      <c r="S40" s="2614"/>
      <c r="T40" s="2550"/>
      <c r="U40" s="1372"/>
      <c r="V40" s="2601" t="s">
        <v>545</v>
      </c>
      <c r="W40" s="2624" t="s">
        <v>546</v>
      </c>
      <c r="X40" s="2603" t="s">
        <v>547</v>
      </c>
      <c r="Y40" s="2604"/>
      <c r="Z40" s="2603" t="s">
        <v>560</v>
      </c>
      <c r="AA40" s="2610"/>
      <c r="AB40" s="2604"/>
      <c r="AC40" s="2619"/>
      <c r="AD40" s="2601" t="s">
        <v>545</v>
      </c>
      <c r="AE40" s="2624" t="s">
        <v>546</v>
      </c>
      <c r="AF40" s="2603" t="s">
        <v>547</v>
      </c>
      <c r="AG40" s="2604"/>
      <c r="AH40" s="2603" t="s">
        <v>548</v>
      </c>
      <c r="AI40" s="2610"/>
      <c r="AJ40" s="2604"/>
      <c r="AK40" s="2619"/>
      <c r="AL40" s="2622"/>
      <c r="AM40" s="2468"/>
      <c r="AS40" s="1972">
        <v>34</v>
      </c>
    </row>
    <row customHeight="1" ht="35.699999999999996">
      <c r="A41" s="1607"/>
      <c r="B41" s="1607" t="s">
        <v>176</v>
      </c>
      <c r="C41" s="1607" t="s">
        <v>177</v>
      </c>
      <c r="D41" s="1607" t="s">
        <v>178</v>
      </c>
      <c r="E41" s="1651" t="s">
        <v>549</v>
      </c>
      <c r="F41" s="1651" t="s">
        <v>550</v>
      </c>
      <c r="G41" s="1651" t="s">
        <v>551</v>
      </c>
      <c r="H41" s="1651" t="s">
        <v>552</v>
      </c>
      <c r="I41" s="1651" t="s">
        <v>553</v>
      </c>
      <c r="J41" s="1651" t="s">
        <v>554</v>
      </c>
      <c r="K41" s="1651" t="s">
        <v>555</v>
      </c>
      <c r="L41" s="1651" t="s">
        <v>530</v>
      </c>
      <c r="Q41" s="717"/>
      <c r="R41" s="717"/>
      <c r="S41" s="2614"/>
      <c r="T41" s="2550"/>
      <c r="U41" s="643"/>
      <c r="V41" s="2602"/>
      <c r="W41" s="2625"/>
      <c r="X41" s="2279" t="s">
        <v>556</v>
      </c>
      <c r="Y41" s="2279" t="s">
        <v>557</v>
      </c>
      <c r="Z41" s="2279" t="s">
        <v>558</v>
      </c>
      <c r="AA41" s="2611" t="s">
        <v>559</v>
      </c>
      <c r="AB41" s="2612"/>
      <c r="AC41" s="2620"/>
      <c r="AD41" s="2602"/>
      <c r="AE41" s="2625"/>
      <c r="AF41" s="2279" t="s">
        <v>556</v>
      </c>
      <c r="AG41" s="2279" t="s">
        <v>557</v>
      </c>
      <c r="AH41" s="2279" t="s">
        <v>558</v>
      </c>
      <c r="AI41" s="2611" t="s">
        <v>559</v>
      </c>
      <c r="AJ41" s="2612"/>
      <c r="AK41" s="2620"/>
      <c r="AL41" s="2623"/>
      <c r="AM41" s="2468"/>
      <c r="AS41" s="1972">
        <v>34</v>
      </c>
    </row>
    <row s="22350"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145</v>
      </c>
      <c r="T42" s="1596" t="s">
        <v>103</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248</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248</v>
      </c>
      <c r="B44" s="1608" t="s">
        <v>249</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1965"/>
      <c r="AP44" s="1965" t="str">
        <f>IF(T44="","",T44)</f>
        <v>Территория действия тарифа</v>
      </c>
      <c r="AQ44" s="1965"/>
      <c r="AR44" s="1965"/>
      <c r="AS44" s="1972">
        <v>21</v>
      </c>
    </row>
    <row customHeight="1" ht="24">
      <c r="A45" s="1608" t="s">
        <v>248</v>
      </c>
      <c r="B45" s="1608" t="s">
        <v>249</v>
      </c>
      <c r="C45" s="1608" t="s">
        <v>250</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1965"/>
      <c r="AP45" s="1965" t="str">
        <f>IF(T45="","",T45)</f>
        <v>Наименование системы теплоснабжения </v>
      </c>
      <c r="AQ45" s="1965"/>
      <c r="AR45" s="1965"/>
      <c r="AS45" s="1972">
        <v>23</v>
      </c>
    </row>
    <row customHeight="1" ht="22.049999999999997">
      <c r="A46" s="1608" t="s">
        <v>248</v>
      </c>
      <c r="B46" s="1608" t="s">
        <v>249</v>
      </c>
      <c r="C46" s="1608" t="s">
        <v>250</v>
      </c>
      <c r="D46" s="1608" t="s">
        <v>251</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1965"/>
      <c r="AP46" s="1965" t="str">
        <f>IF(T46="","",T46)</f>
        <v>Источник тепловой энергии  </v>
      </c>
      <c r="AQ46" s="1965"/>
      <c r="AR46" s="1965"/>
      <c r="AS46" s="1972">
        <v>21</v>
      </c>
    </row>
    <row customHeight="1" ht="49.5">
      <c r="A47" s="1608" t="s">
        <v>248</v>
      </c>
      <c r="B47" s="1608" t="s">
        <v>249</v>
      </c>
      <c r="C47" s="1608" t="s">
        <v>250</v>
      </c>
      <c r="D47" s="1608" t="s">
        <v>251</v>
      </c>
      <c r="E47" s="2631"/>
      <c r="F47" s="2631"/>
      <c r="G47" s="2631"/>
      <c r="H47" s="2631"/>
      <c r="I47" s="2468" t="str">
        <f>S46&amp;".1"</f>
        <v>....1</v>
      </c>
      <c r="J47" s="1608"/>
      <c r="K47" s="1608"/>
      <c r="L47" s="1651" t="s">
        <v>517</v>
      </c>
      <c r="P47" s="2598">
        <v>1</v>
      </c>
      <c r="Q47" s="2295"/>
      <c r="R47" s="697"/>
      <c r="S47" s="2299" t="str">
        <f>$I47</f>
        <v>....1</v>
      </c>
      <c r="T47" s="626" t="s">
        <v>518</v>
      </c>
      <c r="U47" s="641"/>
      <c r="V47" s="2586"/>
      <c r="W47" s="2587"/>
      <c r="X47" s="2587"/>
      <c r="Y47" s="2587"/>
      <c r="Z47" s="2587"/>
      <c r="AA47" s="2587"/>
      <c r="AB47" s="2587"/>
      <c r="AC47" s="2588"/>
      <c r="AD47" s="2586"/>
      <c r="AE47" s="2587"/>
      <c r="AF47" s="2587"/>
      <c r="AG47" s="2587"/>
      <c r="AH47" s="2587"/>
      <c r="AI47" s="2587"/>
      <c r="AJ47" s="2587"/>
      <c r="AK47" s="2587"/>
      <c r="AL47" s="2588"/>
      <c r="AM47" s="1599" t="s">
        <v>519</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248</v>
      </c>
      <c r="B48" s="1608" t="s">
        <v>249</v>
      </c>
      <c r="C48" s="1608" t="s">
        <v>250</v>
      </c>
      <c r="D48" s="1608" t="s">
        <v>251</v>
      </c>
      <c r="E48" s="2631"/>
      <c r="F48" s="2631"/>
      <c r="G48" s="2631"/>
      <c r="H48" s="2631"/>
      <c r="I48" s="2442"/>
      <c r="J48" s="2468" t="str">
        <f>I47&amp;".1"</f>
        <v>....1.1</v>
      </c>
      <c r="K48" s="1608"/>
      <c r="L48" s="1651" t="s">
        <v>520</v>
      </c>
      <c r="P48" s="2598"/>
      <c r="Q48" s="2598">
        <v>1</v>
      </c>
      <c r="R48" s="698"/>
      <c r="S48" s="2299" t="str">
        <f>$J48</f>
        <v>....1.1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1965"/>
      <c r="AP48" s="1965" t="str">
        <f>IF(T48="","",T48)</f>
        <v>Группа потребителей</v>
      </c>
      <c r="AQ48" s="1965"/>
      <c r="AR48" s="1965"/>
      <c r="AS48" s="1972">
        <v>21</v>
      </c>
    </row>
    <row customHeight="1" ht="22.049999999999997">
      <c r="A49" s="1608" t="s">
        <v>248</v>
      </c>
      <c r="B49" s="1608" t="s">
        <v>249</v>
      </c>
      <c r="C49" s="1608" t="s">
        <v>250</v>
      </c>
      <c r="D49" s="1608" t="s">
        <v>251</v>
      </c>
      <c r="E49" s="2631"/>
      <c r="F49" s="2631"/>
      <c r="G49" s="2631"/>
      <c r="H49" s="2631"/>
      <c r="I49" s="2442"/>
      <c r="J49" s="2442"/>
      <c r="K49" s="2468" t="str">
        <f>J48&amp;".1"</f>
        <v>....1.1.1</v>
      </c>
      <c r="L49" s="1651" t="s">
        <v>523</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524</v>
      </c>
      <c r="AN49" s="1977">
        <f>STRCHECKDATE(V50:AL50)</f>
      </c>
      <c r="AO49" s="1965"/>
      <c r="AP49" s="1965" t="str">
        <f>IF(T49="","",T49)</f>
        <v/>
      </c>
      <c r="AQ49" s="1965"/>
      <c r="AR49" s="1965"/>
      <c r="AS49" s="1972">
        <v>21</v>
      </c>
    </row>
    <row customHeight="1" ht="1.05">
      <c r="A50" s="1608" t="s">
        <v>248</v>
      </c>
      <c r="B50" s="1608" t="s">
        <v>249</v>
      </c>
      <c r="C50" s="1608" t="s">
        <v>250</v>
      </c>
      <c r="D50" s="1608" t="s">
        <v>251</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248</v>
      </c>
      <c r="B51" s="1608" t="s">
        <v>249</v>
      </c>
      <c r="C51" s="1608" t="s">
        <v>250</v>
      </c>
      <c r="D51" s="1608" t="s">
        <v>251</v>
      </c>
      <c r="E51" s="2631"/>
      <c r="F51" s="2631"/>
      <c r="G51" s="2631"/>
      <c r="H51" s="2631"/>
      <c r="I51" s="2442"/>
      <c r="J51" s="2468"/>
      <c r="K51" s="1608"/>
      <c r="L51" s="1651"/>
      <c r="P51" s="2598"/>
      <c r="Q51" s="2598"/>
      <c r="R51" s="697"/>
      <c r="S51" s="1619"/>
      <c r="T51" s="629" t="s">
        <v>525</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248</v>
      </c>
      <c r="B52" s="1608" t="s">
        <v>249</v>
      </c>
      <c r="C52" s="1608" t="s">
        <v>250</v>
      </c>
      <c r="D52" s="1608" t="s">
        <v>251</v>
      </c>
      <c r="E52" s="2631"/>
      <c r="F52" s="2631"/>
      <c r="G52" s="2631"/>
      <c r="H52" s="2631"/>
      <c r="I52" s="2468"/>
      <c r="J52" s="1608"/>
      <c r="K52" s="1608"/>
      <c r="L52" s="1651"/>
      <c r="P52" s="2598"/>
      <c r="Q52" s="2295"/>
      <c r="R52" s="697"/>
      <c r="S52" s="1619"/>
      <c r="T52" s="628" t="s">
        <v>526</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248</v>
      </c>
      <c r="B53" s="1608" t="s">
        <v>249</v>
      </c>
      <c r="C53" s="1608" t="s">
        <v>250</v>
      </c>
      <c r="D53" s="1608" t="s">
        <v>251</v>
      </c>
      <c r="E53" s="2631"/>
      <c r="F53" s="2631"/>
      <c r="G53" s="2631"/>
      <c r="H53" s="2630"/>
      <c r="I53" s="1608"/>
      <c r="J53" s="1608"/>
      <c r="K53" s="1608"/>
      <c r="L53" s="1651"/>
      <c r="M53" s="1951"/>
      <c r="N53" s="1951"/>
      <c r="O53" s="1976"/>
      <c r="P53" s="701"/>
      <c r="Q53" s="716"/>
      <c r="R53" s="696"/>
      <c r="S53" s="1619"/>
      <c r="T53" s="706" t="s">
        <v>527</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21688" customFormat="1" customHeight="1" ht="4.2">
      <c r="A54" s="1716" t="s">
        <v>248</v>
      </c>
      <c r="B54" s="1716" t="s">
        <v>249</v>
      </c>
      <c r="C54" s="1716" t="s">
        <v>250</v>
      </c>
      <c r="D54" s="1715"/>
      <c r="E54" s="2631"/>
      <c r="F54" s="2631"/>
      <c r="G54" s="2630"/>
      <c r="H54" s="1715"/>
      <c r="I54" s="1715"/>
      <c r="J54" s="1715"/>
      <c r="K54" s="1715"/>
      <c r="L54" s="1718"/>
      <c r="M54" s="1719"/>
      <c r="N54" s="1719"/>
      <c r="O54" s="692"/>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21688" customFormat="1" customHeight="1" ht="4.2">
      <c r="A55" s="1716" t="s">
        <v>248</v>
      </c>
      <c r="B55" s="1716" t="s">
        <v>249</v>
      </c>
      <c r="C55" s="1715"/>
      <c r="D55" s="1715"/>
      <c r="E55" s="2631"/>
      <c r="F55" s="2630"/>
      <c r="G55" s="1715"/>
      <c r="H55" s="1715"/>
      <c r="I55" s="1715"/>
      <c r="J55" s="1715"/>
      <c r="K55" s="1715"/>
      <c r="L55" s="1718"/>
      <c r="M55" s="1720"/>
      <c r="N55" s="1720"/>
      <c r="O55" s="69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21688" customFormat="1" customHeight="1" ht="4.2">
      <c r="A56" s="1716" t="s">
        <v>248</v>
      </c>
      <c r="B56" s="1716"/>
      <c r="C56" s="1716"/>
      <c r="D56" s="1716"/>
      <c r="E56" s="2630"/>
      <c r="F56" s="1716"/>
      <c r="G56" s="1716"/>
      <c r="H56" s="1716"/>
      <c r="I56" s="1716"/>
      <c r="J56" s="1716"/>
      <c r="K56" s="1716"/>
      <c r="L56" s="1722"/>
      <c r="M56" s="1720"/>
      <c r="N56" s="1720"/>
      <c r="O56" s="692"/>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21688"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CD55C-E6A9-C5C6-D442-C0666BC22B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1605" width="10.57421875" hidden="1"/>
    <col min="2" max="2" style="21605" width="11.00390625" hidden="1" customWidth="1"/>
    <col min="3" max="3" style="21605" width="10.57421875" hidden="1"/>
    <col min="4" max="4" style="21605" width="11.8515625" hidden="1" customWidth="1"/>
    <col min="5" max="5" style="21605" width="10.00390625" hidden="1" customWidth="1"/>
    <col min="6" max="6" style="21605" width="8.7109375" hidden="1" customWidth="1"/>
    <col min="7" max="7" style="21605" width="7.57421875" hidden="1" customWidth="1"/>
    <col min="8" max="8" style="21605" width="11.421875" hidden="1" customWidth="1"/>
    <col min="9" max="9" style="21605" width="12.00390625" hidden="1" customWidth="1"/>
    <col min="10" max="10" style="21605" width="9.8515625" hidden="1" customWidth="1"/>
    <col min="11" max="11" style="21605" width="11.421875" hidden="1" customWidth="1"/>
    <col min="12" max="12" style="21685" width="19.140625" hidden="1" customWidth="1"/>
    <col min="13" max="14" style="22594" width="12.28125" hidden="1" customWidth="1"/>
    <col min="15" max="15" style="22594" width="23.421875" hidden="1" customWidth="1"/>
    <col min="16" max="16" style="22594" width="3.00390625"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517</v>
      </c>
      <c r="M6" s="1976"/>
      <c r="P6" s="2598">
        <v>1</v>
      </c>
      <c r="Q6" s="2295"/>
      <c r="R6" s="697"/>
      <c r="S6" s="2299">
        <f>$I6</f>
      </c>
      <c r="T6" s="626" t="s">
        <v>518</v>
      </c>
      <c r="U6" s="641"/>
      <c r="V6" s="2586"/>
      <c r="W6" s="2587"/>
      <c r="X6" s="2587"/>
      <c r="Y6" s="2587"/>
      <c r="Z6" s="2587"/>
      <c r="AA6" s="2587"/>
      <c r="AB6" s="2587"/>
      <c r="AC6" s="2588"/>
      <c r="AD6" s="2586"/>
      <c r="AE6" s="2587"/>
      <c r="AF6" s="2587"/>
      <c r="AG6" s="2587"/>
      <c r="AH6" s="2587"/>
      <c r="AI6" s="2587"/>
      <c r="AJ6" s="2587"/>
      <c r="AK6" s="2587"/>
      <c r="AL6" s="2588"/>
      <c r="AM6" s="1599" t="s">
        <v>519</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520</v>
      </c>
      <c r="M7" s="1976"/>
      <c r="N7" s="1972"/>
      <c r="P7" s="2598"/>
      <c r="Q7" s="2598">
        <v>1</v>
      </c>
      <c r="R7" s="698"/>
      <c r="S7" s="2299">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523</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525</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526</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527</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21688"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21688"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21688"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21687" customFormat="1" customHeight="1" ht="14.25" hidden="1">
      <c r="A20" s="1972"/>
      <c r="B20" s="1972"/>
      <c r="C20" s="1972"/>
      <c r="D20" s="1972"/>
      <c r="E20" s="1972"/>
      <c r="F20" s="1972"/>
      <c r="G20" s="1972"/>
      <c r="H20" s="1972"/>
      <c r="I20" s="1972"/>
      <c r="J20" s="1972"/>
      <c r="K20" s="1972"/>
      <c r="L20" s="2280"/>
      <c r="M20" s="2306"/>
      <c r="N20" s="2306"/>
      <c r="O20" s="1686" t="s">
        <v>529</v>
      </c>
      <c r="P20" s="1703"/>
      <c r="Q20" s="1712"/>
      <c r="R20" s="1712"/>
      <c r="S20" s="1070"/>
      <c r="Z20" s="1708"/>
      <c r="AB20" s="1708"/>
      <c r="AH20" s="1708"/>
      <c r="AJ20" s="1708"/>
      <c r="AN20" s="1977"/>
      <c r="AO20" s="1977"/>
      <c r="AP20" s="1977"/>
      <c r="AQ20" s="1977"/>
      <c r="AR20" s="1977"/>
      <c r="AS20" s="1707">
        <v>0</v>
      </c>
    </row>
    <row s="21687"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21687" customFormat="1" customHeight="1" ht="14.25" hidden="1">
      <c r="A22" s="1972"/>
      <c r="B22" s="1972"/>
      <c r="C22" s="1972"/>
      <c r="D22" s="1972"/>
      <c r="E22" s="1972"/>
      <c r="F22" s="1972"/>
      <c r="G22" s="1972"/>
      <c r="H22" s="1972"/>
      <c r="I22" s="1972"/>
      <c r="J22" s="1972"/>
      <c r="K22" s="1972"/>
      <c r="L22" s="2280"/>
      <c r="M22" s="2306"/>
      <c r="N22" s="2306"/>
      <c r="O22" s="1651" t="s">
        <v>530</v>
      </c>
      <c r="P22" s="1703"/>
      <c r="Q22" s="1712"/>
      <c r="R22" s="1712"/>
      <c r="S22" s="1070"/>
      <c r="T22" s="1707" t="s">
        <v>531</v>
      </c>
      <c r="AA22" s="936" t="s">
        <v>532</v>
      </c>
      <c r="AC22" s="936" t="s">
        <v>533</v>
      </c>
      <c r="AD22" s="1707" t="s">
        <v>531</v>
      </c>
      <c r="AI22" s="936" t="s">
        <v>534</v>
      </c>
      <c r="AK22" s="936" t="s">
        <v>533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2182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21825" customFormat="1" customHeight="1" ht="18.75" hidden="1">
      <c r="A30" s="1589"/>
      <c r="B30" s="1589"/>
      <c r="C30" s="1589"/>
      <c r="D30" s="1589"/>
      <c r="E30" s="1589"/>
      <c r="F30" s="1589"/>
      <c r="G30" s="1589"/>
      <c r="H30" s="1589"/>
      <c r="I30" s="1589"/>
      <c r="J30" s="1589"/>
      <c r="K30" s="1589"/>
      <c r="L30" s="1721"/>
      <c r="M30" s="1589"/>
      <c r="N30" s="1589"/>
      <c r="O30" s="1589"/>
      <c r="S30" s="2591" t="s">
        <v>535</v>
      </c>
      <c r="T30" s="2591"/>
      <c r="U30" s="1713"/>
      <c r="V30" s="2605" t="str">
        <f>IF(TITLE_DATE_PR_CHANGE="",IF(TITLE_DATE_PR="","",TITLE_DATE_PR),TITLE_DATE_PR_CHANGE)</f>
        <v>45408.52040509259</v>
      </c>
      <c r="W30" s="2605"/>
      <c r="X30" s="2605"/>
      <c r="Y30" s="2605"/>
      <c r="Z30" s="2605"/>
      <c r="AA30" s="2605"/>
      <c r="AB30" s="2605"/>
      <c r="AC30" s="1976"/>
      <c r="AD30" s="2605" t="str">
        <f>IF(TITLE_DATE_PR_CHANGE="",IF(TITLE_DATE_PR="","",TITLE_DATE_PR),TITLE_DATE_PR_CHANGE)</f>
        <v>45408.52040509259</v>
      </c>
      <c r="AE30" s="2605"/>
      <c r="AF30" s="2605"/>
      <c r="AG30" s="2605"/>
      <c r="AH30" s="2605"/>
      <c r="AI30" s="2605"/>
      <c r="AJ30" s="2605"/>
      <c r="AK30" s="1976"/>
      <c r="AL30" s="1976"/>
      <c r="AM30" s="621"/>
      <c r="AN30" s="709"/>
      <c r="AO30" s="709"/>
      <c r="AP30" s="709"/>
      <c r="AQ30" s="709"/>
      <c r="AR30" s="709"/>
      <c r="AS30" s="759">
        <v>0</v>
      </c>
    </row>
    <row s="21825" customFormat="1" customHeight="1" ht="18.75" hidden="1">
      <c r="A31" s="1589"/>
      <c r="B31" s="1589"/>
      <c r="C31" s="1589"/>
      <c r="D31" s="1589"/>
      <c r="E31" s="1589"/>
      <c r="F31" s="1589"/>
      <c r="G31" s="1589"/>
      <c r="H31" s="1589"/>
      <c r="I31" s="1589"/>
      <c r="J31" s="1589"/>
      <c r="K31" s="1589"/>
      <c r="L31" s="1721"/>
      <c r="M31" s="1589"/>
      <c r="N31" s="1589"/>
      <c r="O31" s="1589"/>
      <c r="S31" s="2591" t="s">
        <v>536</v>
      </c>
      <c r="T31" s="2591"/>
      <c r="U31" s="1713"/>
      <c r="V31" s="2592" t="str">
        <f>IF(TITLE_NUMBER_PR_CHANGE="",IF(TITLE_NUMBER_PR="","",TITLE_NUMBER_PR),TITLE_NUMBER_PR_CHANGE)</f>
        <v>27-2139</v>
      </c>
      <c r="W31" s="2592"/>
      <c r="X31" s="2592"/>
      <c r="Y31" s="2592"/>
      <c r="Z31" s="2592"/>
      <c r="AA31" s="2592"/>
      <c r="AB31" s="2592"/>
      <c r="AC31" s="1976"/>
      <c r="AD31" s="2592" t="str">
        <f>IF(TITLE_NUMBER_PR_CHANGE="",IF(TITLE_NUMBER_PR="","",TITLE_NUMBER_PR),TITLE_NUMBER_PR_CHANGE)</f>
        <v>27-2139</v>
      </c>
      <c r="AE31" s="2592"/>
      <c r="AF31" s="2592"/>
      <c r="AG31" s="2592"/>
      <c r="AH31" s="2592"/>
      <c r="AI31" s="2592"/>
      <c r="AJ31" s="2592"/>
      <c r="AK31" s="1976"/>
      <c r="AL31" s="1976"/>
      <c r="AM31" s="621"/>
      <c r="AN31" s="709"/>
      <c r="AO31" s="709"/>
      <c r="AP31" s="709"/>
      <c r="AQ31" s="709"/>
      <c r="AR31" s="709"/>
      <c r="AS31" s="759">
        <v>0</v>
      </c>
    </row>
    <row s="2182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21825" customFormat="1" customHeight="1" ht="18.75" hidden="1">
      <c r="A34" s="1589"/>
      <c r="B34" s="1589"/>
      <c r="C34" s="1589"/>
      <c r="D34" s="1589"/>
      <c r="E34" s="1589"/>
      <c r="F34" s="1589"/>
      <c r="G34" s="1589"/>
      <c r="H34" s="1589"/>
      <c r="I34" s="1589"/>
      <c r="J34" s="1589"/>
      <c r="K34" s="1589"/>
      <c r="L34" s="1721"/>
      <c r="M34" s="1589"/>
      <c r="N34" s="1589"/>
      <c r="O34" s="1589"/>
      <c r="S34" s="2591" t="s">
        <v>537</v>
      </c>
      <c r="T34" s="2591"/>
      <c r="U34" s="1713"/>
      <c r="V34" s="2605" t="str">
        <f>IF(TITLE_DATE_PR_CHANGE="",IF(TITLE_DATE_PR="","",TITLE_DATE_PR),TITLE_DATE_PR_CHANGE)</f>
        <v>45408.52040509259</v>
      </c>
      <c r="W34" s="2605"/>
      <c r="X34" s="2605"/>
      <c r="Y34" s="2605"/>
      <c r="Z34" s="2605"/>
      <c r="AA34" s="2605"/>
      <c r="AB34" s="2605"/>
      <c r="AC34" s="1976"/>
      <c r="AD34" s="2605" t="str">
        <f>IF(TITLE_DATE_PR_CHANGE="",IF(TITLE_DATE_PR="","",TITLE_DATE_PR),TITLE_DATE_PR_CHANGE)</f>
        <v>45408.52040509259</v>
      </c>
      <c r="AE34" s="2605"/>
      <c r="AF34" s="2605"/>
      <c r="AG34" s="2605"/>
      <c r="AH34" s="2605"/>
      <c r="AI34" s="2605"/>
      <c r="AJ34" s="2605"/>
      <c r="AK34" s="1976"/>
      <c r="AL34" s="1976"/>
      <c r="AM34" s="621"/>
      <c r="AN34" s="709"/>
      <c r="AO34" s="709"/>
      <c r="AP34" s="709"/>
      <c r="AQ34" s="709"/>
      <c r="AR34" s="709"/>
      <c r="AS34" s="759">
        <v>0</v>
      </c>
    </row>
    <row s="21825" customFormat="1" customHeight="1" ht="18.75" hidden="1">
      <c r="A35" s="1589"/>
      <c r="B35" s="1589"/>
      <c r="C35" s="1589"/>
      <c r="D35" s="1589"/>
      <c r="E35" s="1589"/>
      <c r="F35" s="1589"/>
      <c r="G35" s="1589"/>
      <c r="H35" s="1589"/>
      <c r="I35" s="1589"/>
      <c r="J35" s="1589"/>
      <c r="K35" s="1589"/>
      <c r="L35" s="1721"/>
      <c r="M35" s="1589"/>
      <c r="N35" s="1589"/>
      <c r="O35" s="1589"/>
      <c r="S35" s="2591" t="s">
        <v>538</v>
      </c>
      <c r="T35" s="2591"/>
      <c r="U35" s="1713"/>
      <c r="V35" s="2592" t="str">
        <f>IF(TITLE_NUMBER_PR_CHANGE="",IF(TITLE_NUMBER_PR="","",TITLE_NUMBER_PR),TITLE_NUMBER_PR_CHANGE)</f>
        <v>27-2139</v>
      </c>
      <c r="W35" s="2592"/>
      <c r="X35" s="2592"/>
      <c r="Y35" s="2592"/>
      <c r="Z35" s="2592"/>
      <c r="AA35" s="2592"/>
      <c r="AB35" s="2592"/>
      <c r="AC35" s="1976"/>
      <c r="AD35" s="2592" t="str">
        <f>IF(TITLE_NUMBER_PR_CHANGE="",IF(TITLE_NUMBER_PR="","",TITLE_NUMBER_PR),TITLE_NUMBER_PR_CHANGE)</f>
        <v>27-2139</v>
      </c>
      <c r="AE35" s="2592"/>
      <c r="AF35" s="2592"/>
      <c r="AG35" s="2592"/>
      <c r="AH35" s="2592"/>
      <c r="AI35" s="2592"/>
      <c r="AJ35" s="2592"/>
      <c r="AK35" s="1976"/>
      <c r="AL35" s="1976"/>
      <c r="AM35" s="621"/>
      <c r="AN35" s="709"/>
      <c r="AO35" s="709"/>
      <c r="AP35" s="709"/>
      <c r="AQ35" s="709"/>
      <c r="AR35" s="709"/>
      <c r="AS35" s="759">
        <v>0</v>
      </c>
    </row>
    <row s="2182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539</v>
      </c>
      <c r="AD36" s="1976"/>
      <c r="AE36" s="1976"/>
      <c r="AF36" s="1976"/>
      <c r="AG36" s="1976"/>
      <c r="AH36" s="1976"/>
      <c r="AI36" s="1976"/>
      <c r="AJ36" s="1976"/>
      <c r="AK36" s="1983" t="s">
        <v>539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972">
        <v>14</v>
      </c>
    </row>
    <row customHeight="1" ht="14.699999999999998">
      <c r="Q39" s="717"/>
      <c r="R39" s="717"/>
      <c r="S39" s="2614" t="s">
        <v>88</v>
      </c>
      <c r="T39" s="2550" t="s">
        <v>540</v>
      </c>
      <c r="U39" s="678"/>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972">
        <v>14</v>
      </c>
    </row>
    <row customHeight="1" ht="35.699999999999996">
      <c r="Q40" s="717"/>
      <c r="R40" s="717"/>
      <c r="S40" s="2614"/>
      <c r="T40" s="2550"/>
      <c r="U40" s="1372"/>
      <c r="V40" s="2601" t="s">
        <v>545</v>
      </c>
      <c r="W40" s="2624" t="s">
        <v>546</v>
      </c>
      <c r="X40" s="2603" t="s">
        <v>547</v>
      </c>
      <c r="Y40" s="2604"/>
      <c r="Z40" s="2603" t="s">
        <v>560</v>
      </c>
      <c r="AA40" s="2610"/>
      <c r="AB40" s="2604"/>
      <c r="AC40" s="2619"/>
      <c r="AD40" s="2601" t="s">
        <v>545</v>
      </c>
      <c r="AE40" s="2624" t="s">
        <v>546</v>
      </c>
      <c r="AF40" s="2603" t="s">
        <v>547</v>
      </c>
      <c r="AG40" s="2604"/>
      <c r="AH40" s="2603" t="s">
        <v>548</v>
      </c>
      <c r="AI40" s="2610"/>
      <c r="AJ40" s="2604"/>
      <c r="AK40" s="2619"/>
      <c r="AL40" s="2622"/>
      <c r="AM40" s="2468"/>
      <c r="AS40" s="1972">
        <v>34</v>
      </c>
    </row>
    <row customHeight="1" ht="35.699999999999996">
      <c r="A41" s="1607"/>
      <c r="B41" s="1607" t="s">
        <v>176</v>
      </c>
      <c r="C41" s="1607" t="s">
        <v>177</v>
      </c>
      <c r="D41" s="1607" t="s">
        <v>178</v>
      </c>
      <c r="E41" s="1651" t="s">
        <v>549</v>
      </c>
      <c r="F41" s="1651" t="s">
        <v>550</v>
      </c>
      <c r="G41" s="1651" t="s">
        <v>551</v>
      </c>
      <c r="H41" s="1651" t="s">
        <v>552</v>
      </c>
      <c r="I41" s="1651" t="s">
        <v>553</v>
      </c>
      <c r="J41" s="1651" t="s">
        <v>554</v>
      </c>
      <c r="K41" s="1651" t="s">
        <v>555</v>
      </c>
      <c r="L41" s="1651" t="s">
        <v>530</v>
      </c>
      <c r="Q41" s="717"/>
      <c r="R41" s="717"/>
      <c r="S41" s="2614"/>
      <c r="T41" s="2550"/>
      <c r="U41" s="643"/>
      <c r="V41" s="2602"/>
      <c r="W41" s="2625"/>
      <c r="X41" s="2279" t="s">
        <v>556</v>
      </c>
      <c r="Y41" s="2279" t="s">
        <v>557</v>
      </c>
      <c r="Z41" s="2279" t="s">
        <v>558</v>
      </c>
      <c r="AA41" s="2611" t="s">
        <v>559</v>
      </c>
      <c r="AB41" s="2612"/>
      <c r="AC41" s="2620"/>
      <c r="AD41" s="2602"/>
      <c r="AE41" s="2625"/>
      <c r="AF41" s="2279" t="s">
        <v>556</v>
      </c>
      <c r="AG41" s="2279" t="s">
        <v>557</v>
      </c>
      <c r="AH41" s="2279" t="s">
        <v>558</v>
      </c>
      <c r="AI41" s="2611" t="s">
        <v>559</v>
      </c>
      <c r="AJ41" s="2612"/>
      <c r="AK41" s="2620"/>
      <c r="AL41" s="2623"/>
      <c r="AM41" s="2468"/>
      <c r="AS41" s="1972">
        <v>34</v>
      </c>
    </row>
    <row s="22350"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145</v>
      </c>
      <c r="T42" s="1596" t="s">
        <v>103</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248</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248</v>
      </c>
      <c r="B44" s="1608" t="s">
        <v>249</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1965"/>
      <c r="AP44" s="1965" t="str">
        <f>IF(T44="","",T44)</f>
        <v>Территория действия тарифа</v>
      </c>
      <c r="AQ44" s="1965"/>
      <c r="AR44" s="1965"/>
      <c r="AS44" s="1972">
        <v>21</v>
      </c>
    </row>
    <row customHeight="1" ht="24">
      <c r="A45" s="1608" t="s">
        <v>248</v>
      </c>
      <c r="B45" s="1608" t="s">
        <v>249</v>
      </c>
      <c r="C45" s="1608" t="s">
        <v>250</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1965"/>
      <c r="AP45" s="1965" t="str">
        <f>IF(T45="","",T45)</f>
        <v>Наименование системы теплоснабжения </v>
      </c>
      <c r="AQ45" s="1965"/>
      <c r="AR45" s="1965"/>
      <c r="AS45" s="1972">
        <v>23</v>
      </c>
    </row>
    <row customHeight="1" ht="22.049999999999997">
      <c r="A46" s="1608" t="s">
        <v>248</v>
      </c>
      <c r="B46" s="1608" t="s">
        <v>249</v>
      </c>
      <c r="C46" s="1608" t="s">
        <v>250</v>
      </c>
      <c r="D46" s="1608" t="s">
        <v>251</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1965"/>
      <c r="AP46" s="1965" t="str">
        <f>IF(T46="","",T46)</f>
        <v>Источник тепловой энергии  </v>
      </c>
      <c r="AQ46" s="1965"/>
      <c r="AR46" s="1965"/>
      <c r="AS46" s="1972">
        <v>21</v>
      </c>
    </row>
    <row customHeight="1" ht="49.5">
      <c r="A47" s="1608" t="s">
        <v>248</v>
      </c>
      <c r="B47" s="1608" t="s">
        <v>249</v>
      </c>
      <c r="C47" s="1608" t="s">
        <v>250</v>
      </c>
      <c r="D47" s="1608" t="s">
        <v>251</v>
      </c>
      <c r="E47" s="2631"/>
      <c r="F47" s="2631"/>
      <c r="G47" s="2631"/>
      <c r="H47" s="2631"/>
      <c r="I47" s="2468" t="str">
        <f>S46&amp;".1"</f>
        <v>....1</v>
      </c>
      <c r="J47" s="1608"/>
      <c r="K47" s="1608"/>
      <c r="L47" s="1651" t="s">
        <v>517</v>
      </c>
      <c r="P47" s="2598">
        <v>1</v>
      </c>
      <c r="Q47" s="2295"/>
      <c r="R47" s="697"/>
      <c r="S47" s="2299" t="str">
        <f>$I47</f>
        <v>....1</v>
      </c>
      <c r="T47" s="626" t="s">
        <v>518</v>
      </c>
      <c r="U47" s="641"/>
      <c r="V47" s="2586"/>
      <c r="W47" s="2587"/>
      <c r="X47" s="2587"/>
      <c r="Y47" s="2587"/>
      <c r="Z47" s="2587"/>
      <c r="AA47" s="2587"/>
      <c r="AB47" s="2587"/>
      <c r="AC47" s="2588"/>
      <c r="AD47" s="2586"/>
      <c r="AE47" s="2587"/>
      <c r="AF47" s="2587"/>
      <c r="AG47" s="2587"/>
      <c r="AH47" s="2587"/>
      <c r="AI47" s="2587"/>
      <c r="AJ47" s="2587"/>
      <c r="AK47" s="2587"/>
      <c r="AL47" s="2588"/>
      <c r="AM47" s="1599" t="s">
        <v>519</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248</v>
      </c>
      <c r="B48" s="1608" t="s">
        <v>249</v>
      </c>
      <c r="C48" s="1608" t="s">
        <v>250</v>
      </c>
      <c r="D48" s="1608" t="s">
        <v>251</v>
      </c>
      <c r="E48" s="2631"/>
      <c r="F48" s="2631"/>
      <c r="G48" s="2631"/>
      <c r="H48" s="2631"/>
      <c r="I48" s="2442"/>
      <c r="J48" s="2468" t="str">
        <f>I47&amp;".1"</f>
        <v>....1.1</v>
      </c>
      <c r="K48" s="1608"/>
      <c r="L48" s="1651" t="s">
        <v>520</v>
      </c>
      <c r="P48" s="2598"/>
      <c r="Q48" s="2598">
        <v>1</v>
      </c>
      <c r="R48" s="698"/>
      <c r="S48" s="2299" t="str">
        <f>$J48</f>
        <v>....1.1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1965"/>
      <c r="AP48" s="1965" t="str">
        <f>IF(T48="","",T48)</f>
        <v>Группа потребителей</v>
      </c>
      <c r="AQ48" s="1965"/>
      <c r="AR48" s="1965"/>
      <c r="AS48" s="1972">
        <v>21</v>
      </c>
    </row>
    <row customHeight="1" ht="22.049999999999997">
      <c r="A49" s="1608" t="s">
        <v>248</v>
      </c>
      <c r="B49" s="1608" t="s">
        <v>249</v>
      </c>
      <c r="C49" s="1608" t="s">
        <v>250</v>
      </c>
      <c r="D49" s="1608" t="s">
        <v>251</v>
      </c>
      <c r="E49" s="2631"/>
      <c r="F49" s="2631"/>
      <c r="G49" s="2631"/>
      <c r="H49" s="2631"/>
      <c r="I49" s="2442"/>
      <c r="J49" s="2442"/>
      <c r="K49" s="2468" t="str">
        <f>J48&amp;".1"</f>
        <v>....1.1.1</v>
      </c>
      <c r="L49" s="1651" t="s">
        <v>523</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524</v>
      </c>
      <c r="AN49" s="1977">
        <f>STRCHECKDATE(V50:AL50)</f>
      </c>
      <c r="AO49" s="1965"/>
      <c r="AP49" s="1965" t="str">
        <f>IF(T49="","",T49)</f>
        <v/>
      </c>
      <c r="AQ49" s="1965"/>
      <c r="AR49" s="1965"/>
      <c r="AS49" s="1972">
        <v>21</v>
      </c>
    </row>
    <row customHeight="1" ht="1.05">
      <c r="A50" s="1608" t="s">
        <v>248</v>
      </c>
      <c r="B50" s="1608" t="s">
        <v>249</v>
      </c>
      <c r="C50" s="1608" t="s">
        <v>250</v>
      </c>
      <c r="D50" s="1608" t="s">
        <v>251</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248</v>
      </c>
      <c r="B51" s="1608" t="s">
        <v>249</v>
      </c>
      <c r="C51" s="1608" t="s">
        <v>250</v>
      </c>
      <c r="D51" s="1608" t="s">
        <v>251</v>
      </c>
      <c r="E51" s="2631"/>
      <c r="F51" s="2631"/>
      <c r="G51" s="2631"/>
      <c r="H51" s="2631"/>
      <c r="I51" s="2442"/>
      <c r="J51" s="2468"/>
      <c r="K51" s="1608"/>
      <c r="L51" s="1651"/>
      <c r="P51" s="2598"/>
      <c r="Q51" s="2598"/>
      <c r="R51" s="697"/>
      <c r="S51" s="1619"/>
      <c r="T51" s="629" t="s">
        <v>525</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248</v>
      </c>
      <c r="B52" s="1608" t="s">
        <v>249</v>
      </c>
      <c r="C52" s="1608" t="s">
        <v>250</v>
      </c>
      <c r="D52" s="1608" t="s">
        <v>251</v>
      </c>
      <c r="E52" s="2631"/>
      <c r="F52" s="2631"/>
      <c r="G52" s="2631"/>
      <c r="H52" s="2631"/>
      <c r="I52" s="2468"/>
      <c r="J52" s="1608"/>
      <c r="K52" s="1608"/>
      <c r="L52" s="1651"/>
      <c r="P52" s="2598"/>
      <c r="Q52" s="2295"/>
      <c r="R52" s="697"/>
      <c r="S52" s="1619"/>
      <c r="T52" s="628" t="s">
        <v>526</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248</v>
      </c>
      <c r="B53" s="1608" t="s">
        <v>249</v>
      </c>
      <c r="C53" s="1608" t="s">
        <v>250</v>
      </c>
      <c r="D53" s="1608" t="s">
        <v>251</v>
      </c>
      <c r="E53" s="2631"/>
      <c r="F53" s="2631"/>
      <c r="G53" s="2631"/>
      <c r="H53" s="2630"/>
      <c r="I53" s="1608"/>
      <c r="J53" s="1608"/>
      <c r="K53" s="1608"/>
      <c r="L53" s="1651"/>
      <c r="M53" s="1951"/>
      <c r="N53" s="1951"/>
      <c r="O53" s="1976"/>
      <c r="P53" s="701"/>
      <c r="Q53" s="716"/>
      <c r="R53" s="696"/>
      <c r="S53" s="1619"/>
      <c r="T53" s="706" t="s">
        <v>527</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21688" customFormat="1" customHeight="1" ht="1.05">
      <c r="A54" s="1608" t="s">
        <v>248</v>
      </c>
      <c r="B54" s="1608" t="s">
        <v>249</v>
      </c>
      <c r="C54" s="1608" t="s">
        <v>250</v>
      </c>
      <c r="D54" s="2315"/>
      <c r="E54" s="2631"/>
      <c r="F54" s="2631"/>
      <c r="G54" s="2630"/>
      <c r="H54" s="2315"/>
      <c r="I54" s="2315"/>
      <c r="J54" s="2315"/>
      <c r="K54" s="2315"/>
      <c r="L54" s="1721"/>
      <c r="M54" s="1951"/>
      <c r="N54" s="1951"/>
      <c r="O54" s="197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21688" customFormat="1" customHeight="1" ht="1.05">
      <c r="A55" s="1608" t="s">
        <v>248</v>
      </c>
      <c r="B55" s="1608" t="s">
        <v>249</v>
      </c>
      <c r="C55" s="2315"/>
      <c r="D55" s="2315"/>
      <c r="E55" s="2631"/>
      <c r="F55" s="2630"/>
      <c r="G55" s="2315"/>
      <c r="H55" s="2315"/>
      <c r="I55" s="2315"/>
      <c r="J55" s="2315"/>
      <c r="K55" s="2315"/>
      <c r="L55" s="1721"/>
      <c r="M55" s="2316"/>
      <c r="N55" s="2316"/>
      <c r="O55" s="1976"/>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21688" customFormat="1" customHeight="1" ht="1.05">
      <c r="A56" s="1608" t="s">
        <v>248</v>
      </c>
      <c r="B56" s="1608"/>
      <c r="C56" s="1608"/>
      <c r="D56" s="1608"/>
      <c r="E56" s="2630"/>
      <c r="F56" s="1608"/>
      <c r="G56" s="1608"/>
      <c r="H56" s="1608"/>
      <c r="I56" s="1608"/>
      <c r="J56" s="1608"/>
      <c r="K56" s="1608"/>
      <c r="L56" s="1651"/>
      <c r="M56" s="2316"/>
      <c r="N56" s="2316"/>
      <c r="O56" s="1976"/>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21688"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FA2A9-11F2-C143-6577-904404F5B0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1.00390625" customWidth="1"/>
    <col min="21" max="21" style="21605" width="0.7109375" hidden="1" customWidth="1"/>
    <col min="22" max="22" style="21605" width="1.7109375" hidden="1" customWidth="1"/>
    <col min="23" max="23" style="21605" width="24.7109375" hidden="1" customWidth="1"/>
    <col min="24" max="25" style="21605" width="0.14062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0.140625" customWidth="1"/>
    <col min="31" max="31" style="21605" width="24.00390625" customWidth="1"/>
    <col min="32" max="33" style="21605" width="0.14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517</v>
      </c>
      <c r="M6" s="878"/>
      <c r="P6" s="2598">
        <v>1</v>
      </c>
      <c r="Q6" s="1672"/>
      <c r="R6" s="697"/>
      <c r="S6" s="1677">
        <f>$I6</f>
      </c>
      <c r="T6" s="626" t="s">
        <v>518</v>
      </c>
      <c r="U6" s="641"/>
      <c r="V6" s="2586"/>
      <c r="W6" s="2587"/>
      <c r="X6" s="2587"/>
      <c r="Y6" s="2587"/>
      <c r="Z6" s="2587"/>
      <c r="AA6" s="2587"/>
      <c r="AB6" s="2587"/>
      <c r="AC6" s="2588"/>
      <c r="AD6" s="2586"/>
      <c r="AE6" s="2587"/>
      <c r="AF6" s="2587"/>
      <c r="AG6" s="2587"/>
      <c r="AH6" s="2587"/>
      <c r="AI6" s="2587"/>
      <c r="AJ6" s="2587"/>
      <c r="AK6" s="2587"/>
      <c r="AL6" s="2588"/>
      <c r="AM6" s="1599" t="s">
        <v>519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520</v>
      </c>
      <c r="M7" s="878"/>
      <c r="N7" s="1707"/>
      <c r="P7" s="2598"/>
      <c r="Q7" s="2598">
        <v>1</v>
      </c>
      <c r="R7" s="698"/>
      <c r="S7" s="1677">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523</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524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527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2168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33.7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18.7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32"/>
      <c r="Y39" s="2632"/>
      <c r="Z39" s="2616"/>
      <c r="AA39" s="2616"/>
      <c r="AB39" s="2617"/>
      <c r="AC39" s="2618" t="s">
        <v>542</v>
      </c>
      <c r="AD39" s="2615" t="s">
        <v>541</v>
      </c>
      <c r="AE39" s="2616"/>
      <c r="AF39" s="2632"/>
      <c r="AG39" s="2632"/>
      <c r="AH39" s="2616"/>
      <c r="AI39" s="2616"/>
      <c r="AJ39" s="2617"/>
      <c r="AK39" s="2618" t="s">
        <v>543</v>
      </c>
      <c r="AL39" s="2621" t="s">
        <v>544</v>
      </c>
      <c r="AM39" s="2468"/>
      <c r="AS39" s="1496">
        <v>14</v>
      </c>
    </row>
    <row customHeight="1" ht="24">
      <c r="Q40" s="717"/>
      <c r="R40" s="717"/>
      <c r="S40" s="2614"/>
      <c r="T40" s="2550"/>
      <c r="U40" s="1372"/>
      <c r="V40" s="2633" t="s">
        <v>545</v>
      </c>
      <c r="W40" s="2635" t="s">
        <v>546</v>
      </c>
      <c r="X40" s="1717" t="s">
        <v>547</v>
      </c>
      <c r="Y40" s="1717"/>
      <c r="Z40" s="2610" t="s">
        <v>548</v>
      </c>
      <c r="AA40" s="2610"/>
      <c r="AB40" s="2604"/>
      <c r="AC40" s="2619"/>
      <c r="AD40" s="2633" t="s">
        <v>545</v>
      </c>
      <c r="AE40" s="2635" t="s">
        <v>546</v>
      </c>
      <c r="AF40" s="1717" t="s">
        <v>547</v>
      </c>
      <c r="AG40" s="1717"/>
      <c r="AH40" s="2610" t="s">
        <v>548</v>
      </c>
      <c r="AI40" s="2610"/>
      <c r="AJ40" s="2604"/>
      <c r="AK40" s="2619"/>
      <c r="AL40" s="2622"/>
      <c r="AM40" s="2468"/>
      <c r="AS40" s="1496">
        <v>23</v>
      </c>
    </row>
    <row s="21877" customFormat="1" customHeight="1" ht="24">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M41" s="1703"/>
      <c r="N41" s="1703"/>
      <c r="O41" s="1703"/>
      <c r="P41" s="1669"/>
      <c r="Q41" s="717"/>
      <c r="R41" s="717"/>
      <c r="S41" s="2614"/>
      <c r="T41" s="2550"/>
      <c r="U41" s="643"/>
      <c r="V41" s="2634"/>
      <c r="W41" s="2636"/>
      <c r="X41" s="1714" t="s">
        <v>556</v>
      </c>
      <c r="Y41" s="1714" t="s">
        <v>557</v>
      </c>
      <c r="Z41" s="1675" t="s">
        <v>558</v>
      </c>
      <c r="AA41" s="2611" t="s">
        <v>559</v>
      </c>
      <c r="AB41" s="2612"/>
      <c r="AC41" s="2620"/>
      <c r="AD41" s="2634"/>
      <c r="AE41" s="2636"/>
      <c r="AF41" s="1714" t="s">
        <v>556</v>
      </c>
      <c r="AG41" s="1714" t="s">
        <v>557</v>
      </c>
      <c r="AH41" s="1675" t="s">
        <v>558</v>
      </c>
      <c r="AI41" s="2611" t="s">
        <v>559</v>
      </c>
      <c r="AJ41" s="2612"/>
      <c r="AK41" s="2620"/>
      <c r="AL41" s="2623"/>
      <c r="AM41" s="2468"/>
      <c r="AN41" s="852"/>
      <c r="AO41" s="841"/>
      <c r="AP41" s="841"/>
      <c r="AQ41" s="841"/>
      <c r="AR41" s="841"/>
      <c r="AS41" s="923">
        <v>23</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230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230</v>
      </c>
      <c r="B44" s="1704" t="s">
        <v>231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21</v>
      </c>
    </row>
    <row customHeight="1" ht="24">
      <c r="A45" s="1704" t="s">
        <v>230</v>
      </c>
      <c r="B45" s="1704" t="s">
        <v>231</v>
      </c>
      <c r="C45" s="1704" t="s">
        <v>232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2.049999999999997">
      <c r="A46" s="1704" t="s">
        <v>230</v>
      </c>
      <c r="B46" s="1704" t="s">
        <v>231</v>
      </c>
      <c r="C46" s="1704" t="s">
        <v>232</v>
      </c>
      <c r="D46" s="1704" t="s">
        <v>233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21</v>
      </c>
    </row>
    <row customHeight="1" ht="49.5">
      <c r="A47" s="1704" t="s">
        <v>230</v>
      </c>
      <c r="B47" s="1704" t="s">
        <v>231</v>
      </c>
      <c r="C47" s="1704" t="s">
        <v>232</v>
      </c>
      <c r="D47" s="1704" t="s">
        <v>233</v>
      </c>
      <c r="E47" s="2600"/>
      <c r="F47" s="2600"/>
      <c r="G47" s="2600"/>
      <c r="H47" s="2600"/>
      <c r="I47" s="2597" t="str">
        <f>S46&amp;".1"</f>
        <v>....1</v>
      </c>
      <c r="J47" s="1704"/>
      <c r="K47" s="1704"/>
      <c r="L47" s="1705" t="s">
        <v>517</v>
      </c>
      <c r="P47" s="2598">
        <v>1</v>
      </c>
      <c r="Q47" s="1672"/>
      <c r="R47" s="697"/>
      <c r="S47" s="1677" t="str">
        <f>$I47</f>
        <v>....1</v>
      </c>
      <c r="T47" s="626" t="s">
        <v>518</v>
      </c>
      <c r="U47" s="641"/>
      <c r="V47" s="2586"/>
      <c r="W47" s="2587"/>
      <c r="X47" s="2587"/>
      <c r="Y47" s="2587"/>
      <c r="Z47" s="2587"/>
      <c r="AA47" s="2587"/>
      <c r="AB47" s="2587"/>
      <c r="AC47" s="2588"/>
      <c r="AD47" s="2586"/>
      <c r="AE47" s="2587"/>
      <c r="AF47" s="2587"/>
      <c r="AG47" s="2587"/>
      <c r="AH47" s="2587"/>
      <c r="AI47" s="2587"/>
      <c r="AJ47" s="2587"/>
      <c r="AK47" s="2587"/>
      <c r="AL47" s="2588"/>
      <c r="AM47" s="1599" t="s">
        <v>519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230</v>
      </c>
      <c r="B48" s="1704" t="s">
        <v>231</v>
      </c>
      <c r="C48" s="1704" t="s">
        <v>232</v>
      </c>
      <c r="D48" s="1704" t="s">
        <v>233</v>
      </c>
      <c r="E48" s="2600"/>
      <c r="F48" s="2600"/>
      <c r="G48" s="2600"/>
      <c r="H48" s="2600"/>
      <c r="I48" s="2627"/>
      <c r="J48" s="2597" t="str">
        <f>I47&amp;".1"</f>
        <v>....1.1</v>
      </c>
      <c r="K48" s="1704"/>
      <c r="L48" s="1705" t="s">
        <v>520</v>
      </c>
      <c r="P48" s="2598"/>
      <c r="Q48" s="2598">
        <v>1</v>
      </c>
      <c r="R48" s="698"/>
      <c r="S48" s="1677" t="str">
        <f>$J48</f>
        <v>....1.1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21</v>
      </c>
    </row>
    <row customHeight="1" ht="22.049999999999997">
      <c r="A49" s="1704" t="s">
        <v>230</v>
      </c>
      <c r="B49" s="1704" t="s">
        <v>231</v>
      </c>
      <c r="C49" s="1704" t="s">
        <v>232</v>
      </c>
      <c r="D49" s="1704" t="s">
        <v>233</v>
      </c>
      <c r="E49" s="2600"/>
      <c r="F49" s="2600"/>
      <c r="G49" s="2600"/>
      <c r="H49" s="2600"/>
      <c r="I49" s="2627"/>
      <c r="J49" s="2627"/>
      <c r="K49" s="2597" t="str">
        <f>J48&amp;".1"</f>
        <v>....1.1.1</v>
      </c>
      <c r="L49" s="1705" t="s">
        <v>523</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524</v>
      </c>
      <c r="AN49" s="852">
        <f>STRCHECKDATE(V50:AL50)</f>
      </c>
      <c r="AO49" s="841"/>
      <c r="AP49" s="841" t="str">
        <f>IF(T49="","",T49)</f>
        <v/>
      </c>
      <c r="AQ49" s="841"/>
      <c r="AR49" s="841"/>
      <c r="AS49" s="1496">
        <v>21</v>
      </c>
    </row>
    <row customHeight="1" ht="1.05">
      <c r="A50" s="1704" t="s">
        <v>230</v>
      </c>
      <c r="B50" s="1704" t="s">
        <v>231</v>
      </c>
      <c r="C50" s="1704" t="s">
        <v>232</v>
      </c>
      <c r="D50" s="1704" t="s">
        <v>233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230</v>
      </c>
      <c r="B51" s="1704" t="s">
        <v>231</v>
      </c>
      <c r="C51" s="1704" t="s">
        <v>232</v>
      </c>
      <c r="D51" s="1704" t="s">
        <v>233</v>
      </c>
      <c r="E51" s="2600"/>
      <c r="F51" s="2600"/>
      <c r="G51" s="2600"/>
      <c r="H51" s="2600"/>
      <c r="I51" s="2627"/>
      <c r="J51" s="2597"/>
      <c r="K51" s="1704"/>
      <c r="L51" s="1705"/>
      <c r="P51" s="2598"/>
      <c r="Q51" s="2598"/>
      <c r="R51" s="697"/>
      <c r="S51" s="1619"/>
      <c r="T51" s="629"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230</v>
      </c>
      <c r="B52" s="1704" t="s">
        <v>231</v>
      </c>
      <c r="C52" s="1704" t="s">
        <v>232</v>
      </c>
      <c r="D52" s="1704" t="s">
        <v>233</v>
      </c>
      <c r="E52" s="2600"/>
      <c r="F52" s="2600"/>
      <c r="G52" s="2600"/>
      <c r="H52" s="2600"/>
      <c r="I52" s="2597"/>
      <c r="J52" s="1704"/>
      <c r="K52" s="1704"/>
      <c r="L52" s="1705"/>
      <c r="P52" s="2598"/>
      <c r="Q52" s="1672"/>
      <c r="R52" s="697"/>
      <c r="S52" s="1619"/>
      <c r="T52" s="628"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230</v>
      </c>
      <c r="B53" s="1704" t="s">
        <v>231</v>
      </c>
      <c r="C53" s="1704" t="s">
        <v>232</v>
      </c>
      <c r="D53" s="1704" t="s">
        <v>233</v>
      </c>
      <c r="E53" s="2600"/>
      <c r="F53" s="2600"/>
      <c r="G53" s="2600"/>
      <c r="H53" s="2599"/>
      <c r="I53" s="1704"/>
      <c r="J53" s="1704"/>
      <c r="K53" s="1704"/>
      <c r="L53" s="1705"/>
      <c r="M53" s="1706"/>
      <c r="N53" s="1706"/>
      <c r="O53" s="878"/>
      <c r="P53" s="701"/>
      <c r="Q53" s="716"/>
      <c r="R53" s="696"/>
      <c r="S53" s="1619"/>
      <c r="T53" s="706" t="s">
        <v>527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21688" customFormat="1" customHeight="1" ht="1.05">
      <c r="A54" s="1684" t="s">
        <v>230</v>
      </c>
      <c r="B54" s="1684" t="s">
        <v>231</v>
      </c>
      <c r="C54" s="1684" t="s">
        <v>232</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688" customFormat="1" customHeight="1" ht="1.05">
      <c r="A55" s="1684" t="s">
        <v>230</v>
      </c>
      <c r="B55" s="1684" t="s">
        <v>231</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688" customFormat="1" customHeight="1" ht="1.05">
      <c r="A56" s="1684" t="s">
        <v>230</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68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BD0ED-41CE-1F09-13F1-AEB662BAC6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7109375" hidden="1"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517</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520</v>
      </c>
      <c r="M7" s="878"/>
      <c r="N7" s="1707"/>
      <c r="P7" s="2598"/>
      <c r="Q7" s="2598">
        <v>1</v>
      </c>
      <c r="R7" s="698"/>
      <c r="S7" s="1677">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523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2168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14.2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18.7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496">
        <v>14</v>
      </c>
    </row>
    <row customHeight="1" ht="35.699999999999996">
      <c r="Q40" s="717"/>
      <c r="R40" s="717"/>
      <c r="S40" s="2614"/>
      <c r="T40" s="2550"/>
      <c r="U40" s="1372"/>
      <c r="V40" s="2601" t="s">
        <v>545</v>
      </c>
      <c r="W40" s="2624"/>
      <c r="X40" s="2603" t="s">
        <v>547</v>
      </c>
      <c r="Y40" s="2604"/>
      <c r="Z40" s="2603" t="s">
        <v>548</v>
      </c>
      <c r="AA40" s="2610"/>
      <c r="AB40" s="2604"/>
      <c r="AC40" s="2619"/>
      <c r="AD40" s="2601" t="s">
        <v>561</v>
      </c>
      <c r="AE40" s="2624"/>
      <c r="AF40" s="2603" t="s">
        <v>547</v>
      </c>
      <c r="AG40" s="2604"/>
      <c r="AH40" s="2603" t="s">
        <v>548</v>
      </c>
      <c r="AI40" s="2610"/>
      <c r="AJ40" s="2604"/>
      <c r="AK40" s="2619"/>
      <c r="AL40" s="2622"/>
      <c r="AM40" s="2468"/>
      <c r="AS40" s="1496">
        <v>34</v>
      </c>
    </row>
    <row customHeight="1" ht="35.699999999999996">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Q41" s="717"/>
      <c r="R41" s="717"/>
      <c r="S41" s="2614"/>
      <c r="T41" s="2550"/>
      <c r="U41" s="643"/>
      <c r="V41" s="2602"/>
      <c r="W41" s="2625"/>
      <c r="X41" s="1563" t="s">
        <v>556</v>
      </c>
      <c r="Y41" s="1563" t="s">
        <v>557</v>
      </c>
      <c r="Z41" s="1679" t="s">
        <v>558</v>
      </c>
      <c r="AA41" s="2611" t="s">
        <v>559</v>
      </c>
      <c r="AB41" s="2612"/>
      <c r="AC41" s="2620"/>
      <c r="AD41" s="2602"/>
      <c r="AE41" s="2625"/>
      <c r="AF41" s="1563" t="s">
        <v>556</v>
      </c>
      <c r="AG41" s="1563" t="s">
        <v>557</v>
      </c>
      <c r="AH41" s="1679" t="s">
        <v>558</v>
      </c>
      <c r="AI41" s="2611" t="s">
        <v>559</v>
      </c>
      <c r="AJ41" s="2612"/>
      <c r="AK41" s="2620"/>
      <c r="AL41" s="2623"/>
      <c r="AM41" s="2468"/>
      <c r="AS41" s="1496">
        <v>34</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206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206</v>
      </c>
      <c r="B44" s="1704" t="s">
        <v>207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21</v>
      </c>
    </row>
    <row customHeight="1" ht="24">
      <c r="A45" s="1704" t="s">
        <v>206</v>
      </c>
      <c r="B45" s="1704" t="s">
        <v>207</v>
      </c>
      <c r="C45" s="1704" t="s">
        <v>208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2.049999999999997">
      <c r="A46" s="1704" t="s">
        <v>206</v>
      </c>
      <c r="B46" s="1704" t="s">
        <v>207</v>
      </c>
      <c r="C46" s="1704" t="s">
        <v>208</v>
      </c>
      <c r="D46" s="1704" t="s">
        <v>209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21</v>
      </c>
    </row>
    <row s="21688" customFormat="1" customHeight="1" ht="0">
      <c r="A47" s="1684" t="s">
        <v>206</v>
      </c>
      <c r="B47" s="1684" t="s">
        <v>207</v>
      </c>
      <c r="C47" s="1684" t="s">
        <v>208</v>
      </c>
      <c r="D47" s="1684" t="s">
        <v>209</v>
      </c>
      <c r="E47" s="2600"/>
      <c r="F47" s="2600"/>
      <c r="G47" s="2600"/>
      <c r="H47" s="2600"/>
      <c r="I47" s="2597" t="str">
        <f>S46&amp;".1"</f>
        <v>....1</v>
      </c>
      <c r="J47" s="1684"/>
      <c r="K47" s="1684"/>
      <c r="L47" s="1687" t="s">
        <v>517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206</v>
      </c>
      <c r="B48" s="1704" t="s">
        <v>207</v>
      </c>
      <c r="C48" s="1704" t="s">
        <v>208</v>
      </c>
      <c r="D48" s="1704" t="s">
        <v>209</v>
      </c>
      <c r="E48" s="2600"/>
      <c r="F48" s="2600"/>
      <c r="G48" s="2600"/>
      <c r="H48" s="2600"/>
      <c r="I48" s="2627"/>
      <c r="J48" s="2597" t="str">
        <f>S46&amp;".1"</f>
        <v>....1</v>
      </c>
      <c r="K48" s="1704"/>
      <c r="L48" s="1705" t="s">
        <v>520</v>
      </c>
      <c r="P48" s="2598"/>
      <c r="Q48" s="2598">
        <v>1</v>
      </c>
      <c r="R48" s="698"/>
      <c r="S48" s="1677" t="str">
        <f>$J48</f>
        <v>....1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21</v>
      </c>
    </row>
    <row customHeight="1" ht="22.049999999999997">
      <c r="A49" s="1704" t="s">
        <v>206</v>
      </c>
      <c r="B49" s="1704" t="s">
        <v>207</v>
      </c>
      <c r="C49" s="1704" t="s">
        <v>208</v>
      </c>
      <c r="D49" s="1704" t="s">
        <v>209</v>
      </c>
      <c r="E49" s="2600"/>
      <c r="F49" s="2600"/>
      <c r="G49" s="2600"/>
      <c r="H49" s="2600"/>
      <c r="I49" s="2627"/>
      <c r="J49" s="2627"/>
      <c r="K49" s="2597" t="str">
        <f>J48&amp;".1"</f>
        <v>....1.1</v>
      </c>
      <c r="L49" s="1705" t="s">
        <v>523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562</v>
      </c>
      <c r="AN49" s="852">
        <f>STRCHECKDATE(V50:AL50)</f>
      </c>
      <c r="AO49" s="841"/>
      <c r="AP49" s="841" t="str">
        <f>IF(T49="","",T49)</f>
        <v/>
      </c>
      <c r="AQ49" s="841"/>
      <c r="AR49" s="841"/>
      <c r="AS49" s="1496">
        <v>21</v>
      </c>
    </row>
    <row customHeight="1" ht="1.05">
      <c r="A50" s="1704" t="s">
        <v>206</v>
      </c>
      <c r="B50" s="1704" t="s">
        <v>207</v>
      </c>
      <c r="C50" s="1704" t="s">
        <v>208</v>
      </c>
      <c r="D50" s="1704" t="s">
        <v>209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206</v>
      </c>
      <c r="B51" s="1704" t="s">
        <v>207</v>
      </c>
      <c r="C51" s="1704" t="s">
        <v>208</v>
      </c>
      <c r="D51" s="1704" t="s">
        <v>209</v>
      </c>
      <c r="E51" s="2600"/>
      <c r="F51" s="2600"/>
      <c r="G51" s="2600"/>
      <c r="H51" s="2600"/>
      <c r="I51" s="2627"/>
      <c r="J51" s="2597"/>
      <c r="K51" s="1704"/>
      <c r="L51" s="1705"/>
      <c r="P51" s="2598"/>
      <c r="Q51" s="2598"/>
      <c r="R51" s="697"/>
      <c r="S51" s="1619"/>
      <c r="T51" s="628"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206</v>
      </c>
      <c r="B52" s="1704" t="s">
        <v>207</v>
      </c>
      <c r="C52" s="1704" t="s">
        <v>208</v>
      </c>
      <c r="D52" s="1704" t="s">
        <v>209</v>
      </c>
      <c r="E52" s="2600"/>
      <c r="F52" s="2600"/>
      <c r="G52" s="2600"/>
      <c r="H52" s="2600"/>
      <c r="I52" s="2597"/>
      <c r="J52" s="1704"/>
      <c r="K52" s="1704"/>
      <c r="L52" s="1705"/>
      <c r="P52" s="2598"/>
      <c r="Q52" s="1672"/>
      <c r="R52" s="697"/>
      <c r="S52" s="1619"/>
      <c r="T52" s="706"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206</v>
      </c>
      <c r="B53" s="1704" t="s">
        <v>207</v>
      </c>
      <c r="C53" s="1704" t="s">
        <v>208</v>
      </c>
      <c r="D53" s="1704" t="s">
        <v>209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21688" customFormat="1" customHeight="1" ht="1.05">
      <c r="A54" s="1684" t="s">
        <v>206</v>
      </c>
      <c r="B54" s="1684" t="s">
        <v>207</v>
      </c>
      <c r="C54" s="1684" t="s">
        <v>208</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688" customFormat="1" customHeight="1" ht="1.05">
      <c r="A55" s="1684" t="s">
        <v>206</v>
      </c>
      <c r="B55" s="1684" t="s">
        <v>207</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688" customFormat="1" customHeight="1" ht="1.05">
      <c r="A56" s="1684" t="s">
        <v>206</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68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9AC01-FAD2-FF2F-C382-06C233CA0C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7109375" hidden="1"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513</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515</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516</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517</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520</v>
      </c>
      <c r="M7" s="878"/>
      <c r="N7" s="1707"/>
      <c r="P7" s="2598"/>
      <c r="Q7" s="2598">
        <v>1</v>
      </c>
      <c r="R7" s="1983"/>
      <c r="S7" s="2348">
        <f>$J7</f>
      </c>
      <c r="T7" s="627" t="s">
        <v>521</v>
      </c>
      <c r="U7" s="641"/>
      <c r="V7" s="2646"/>
      <c r="W7" s="2646"/>
      <c r="X7" s="2646"/>
      <c r="Y7" s="2646"/>
      <c r="Z7" s="2646"/>
      <c r="AA7" s="2646"/>
      <c r="AB7" s="2646"/>
      <c r="AC7" s="2646"/>
      <c r="AD7" s="2646"/>
      <c r="AE7" s="2646"/>
      <c r="AF7" s="2646"/>
      <c r="AG7" s="2646"/>
      <c r="AH7" s="2646"/>
      <c r="AI7" s="2646"/>
      <c r="AJ7" s="2646"/>
      <c r="AK7" s="2646"/>
      <c r="AL7" s="2646"/>
      <c r="AM7" s="2351" t="s">
        <v>522</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523</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524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2168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14.2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18.7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496">
        <v>14</v>
      </c>
    </row>
    <row customHeight="1" ht="35.699999999999996">
      <c r="Q40" s="717"/>
      <c r="R40" s="717"/>
      <c r="S40" s="2614"/>
      <c r="T40" s="2550"/>
      <c r="U40" s="1372"/>
      <c r="V40" s="2601" t="s">
        <v>545</v>
      </c>
      <c r="W40" s="2624"/>
      <c r="X40" s="2603" t="s">
        <v>547</v>
      </c>
      <c r="Y40" s="2604"/>
      <c r="Z40" s="2603" t="s">
        <v>548</v>
      </c>
      <c r="AA40" s="2610"/>
      <c r="AB40" s="2604"/>
      <c r="AC40" s="2619"/>
      <c r="AD40" s="2601" t="s">
        <v>561</v>
      </c>
      <c r="AE40" s="2624"/>
      <c r="AF40" s="2603" t="s">
        <v>547</v>
      </c>
      <c r="AG40" s="2604"/>
      <c r="AH40" s="2603" t="s">
        <v>548</v>
      </c>
      <c r="AI40" s="2610"/>
      <c r="AJ40" s="2604"/>
      <c r="AK40" s="2619"/>
      <c r="AL40" s="2622"/>
      <c r="AM40" s="2468"/>
      <c r="AS40" s="1496">
        <v>34</v>
      </c>
    </row>
    <row customHeight="1" ht="35.699999999999996">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Q41" s="717"/>
      <c r="R41" s="717"/>
      <c r="S41" s="2614"/>
      <c r="T41" s="2550"/>
      <c r="U41" s="643"/>
      <c r="V41" s="2602"/>
      <c r="W41" s="2625"/>
      <c r="X41" s="1563" t="s">
        <v>556</v>
      </c>
      <c r="Y41" s="1563" t="s">
        <v>557</v>
      </c>
      <c r="Z41" s="1679" t="s">
        <v>558</v>
      </c>
      <c r="AA41" s="2611" t="s">
        <v>559</v>
      </c>
      <c r="AB41" s="2612"/>
      <c r="AC41" s="2620"/>
      <c r="AD41" s="2602"/>
      <c r="AE41" s="2625"/>
      <c r="AF41" s="1563" t="s">
        <v>556</v>
      </c>
      <c r="AG41" s="1563" t="s">
        <v>557</v>
      </c>
      <c r="AH41" s="1679" t="s">
        <v>558</v>
      </c>
      <c r="AI41" s="2611" t="s">
        <v>559</v>
      </c>
      <c r="AJ41" s="2612"/>
      <c r="AK41" s="2620"/>
      <c r="AL41" s="2623"/>
      <c r="AM41" s="2468"/>
      <c r="AS41" s="1496">
        <v>34</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218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218</v>
      </c>
      <c r="B44" s="1704" t="s">
        <v>219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21</v>
      </c>
    </row>
    <row customHeight="1" ht="24">
      <c r="A45" s="1704" t="s">
        <v>218</v>
      </c>
      <c r="B45" s="1704" t="s">
        <v>219</v>
      </c>
      <c r="C45" s="1704" t="s">
        <v>220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2.049999999999997">
      <c r="A46" s="1704" t="s">
        <v>218</v>
      </c>
      <c r="B46" s="1704" t="s">
        <v>219</v>
      </c>
      <c r="C46" s="1704" t="s">
        <v>220</v>
      </c>
      <c r="D46" s="1704" t="s">
        <v>221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21</v>
      </c>
    </row>
    <row s="21688" customFormat="1" customHeight="1" ht="0">
      <c r="A47" s="1684" t="s">
        <v>218</v>
      </c>
      <c r="B47" s="1684" t="s">
        <v>219</v>
      </c>
      <c r="C47" s="1684" t="s">
        <v>220</v>
      </c>
      <c r="D47" s="1684" t="s">
        <v>221</v>
      </c>
      <c r="E47" s="2600"/>
      <c r="F47" s="2600"/>
      <c r="G47" s="2600"/>
      <c r="H47" s="2600"/>
      <c r="I47" s="2597" t="str">
        <f>S46&amp;".1"</f>
        <v>....1</v>
      </c>
      <c r="J47" s="1684"/>
      <c r="K47" s="1684"/>
      <c r="L47" s="1687" t="s">
        <v>517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218</v>
      </c>
      <c r="B48" s="1704" t="s">
        <v>219</v>
      </c>
      <c r="C48" s="1704" t="s">
        <v>220</v>
      </c>
      <c r="D48" s="1704" t="s">
        <v>221</v>
      </c>
      <c r="E48" s="2600"/>
      <c r="F48" s="2600"/>
      <c r="G48" s="2600"/>
      <c r="H48" s="2600"/>
      <c r="I48" s="2627"/>
      <c r="J48" s="2597" t="str">
        <f>S46&amp;".1"</f>
        <v>....1</v>
      </c>
      <c r="K48" s="1704"/>
      <c r="L48" s="1705" t="s">
        <v>520</v>
      </c>
      <c r="P48" s="2598"/>
      <c r="Q48" s="2598">
        <v>1</v>
      </c>
      <c r="R48" s="698"/>
      <c r="S48" s="1677" t="str">
        <f>$J48</f>
        <v>....1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21</v>
      </c>
    </row>
    <row customHeight="1" ht="22.049999999999997">
      <c r="A49" s="1704" t="s">
        <v>218</v>
      </c>
      <c r="B49" s="1704" t="s">
        <v>219</v>
      </c>
      <c r="C49" s="1704" t="s">
        <v>220</v>
      </c>
      <c r="D49" s="1704" t="s">
        <v>221</v>
      </c>
      <c r="E49" s="2600"/>
      <c r="F49" s="2600"/>
      <c r="G49" s="2600"/>
      <c r="H49" s="2600"/>
      <c r="I49" s="2627"/>
      <c r="J49" s="2627"/>
      <c r="K49" s="2597" t="str">
        <f>J48&amp;".1"</f>
        <v>....1.1</v>
      </c>
      <c r="L49" s="1705" t="s">
        <v>523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562</v>
      </c>
      <c r="AN49" s="852">
        <f>STRCHECKDATE(V50:AL50)</f>
      </c>
      <c r="AO49" s="841"/>
      <c r="AP49" s="841" t="str">
        <f>IF(T49="","",T49)</f>
        <v/>
      </c>
      <c r="AQ49" s="841"/>
      <c r="AR49" s="841"/>
      <c r="AS49" s="1496">
        <v>21</v>
      </c>
    </row>
    <row customHeight="1" ht="1.05">
      <c r="A50" s="1704" t="s">
        <v>218</v>
      </c>
      <c r="B50" s="1704" t="s">
        <v>219</v>
      </c>
      <c r="C50" s="1704" t="s">
        <v>220</v>
      </c>
      <c r="D50" s="1704" t="s">
        <v>221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218</v>
      </c>
      <c r="B51" s="1704" t="s">
        <v>219</v>
      </c>
      <c r="C51" s="1704" t="s">
        <v>220</v>
      </c>
      <c r="D51" s="1704" t="s">
        <v>221</v>
      </c>
      <c r="E51" s="2600"/>
      <c r="F51" s="2600"/>
      <c r="G51" s="2600"/>
      <c r="H51" s="2600"/>
      <c r="I51" s="2627"/>
      <c r="J51" s="2597"/>
      <c r="K51" s="1704"/>
      <c r="L51" s="1705"/>
      <c r="P51" s="2598"/>
      <c r="Q51" s="2598"/>
      <c r="R51" s="697"/>
      <c r="S51" s="1619"/>
      <c r="T51" s="628"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218</v>
      </c>
      <c r="B52" s="1704" t="s">
        <v>219</v>
      </c>
      <c r="C52" s="1704" t="s">
        <v>220</v>
      </c>
      <c r="D52" s="1704" t="s">
        <v>221</v>
      </c>
      <c r="E52" s="2600"/>
      <c r="F52" s="2600"/>
      <c r="G52" s="2600"/>
      <c r="H52" s="2600"/>
      <c r="I52" s="2597"/>
      <c r="J52" s="1704"/>
      <c r="K52" s="1704"/>
      <c r="L52" s="1705"/>
      <c r="P52" s="2598"/>
      <c r="Q52" s="1672"/>
      <c r="R52" s="697"/>
      <c r="S52" s="1619"/>
      <c r="T52" s="706"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218</v>
      </c>
      <c r="B53" s="1704" t="s">
        <v>219</v>
      </c>
      <c r="C53" s="1704" t="s">
        <v>220</v>
      </c>
      <c r="D53" s="1704" t="s">
        <v>221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21688" customFormat="1" customHeight="1" ht="1.05">
      <c r="A54" s="1684" t="s">
        <v>218</v>
      </c>
      <c r="B54" s="1684" t="s">
        <v>219</v>
      </c>
      <c r="C54" s="1684" t="s">
        <v>220</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21688" customFormat="1" customHeight="1" ht="1.05">
      <c r="A55" s="1684" t="s">
        <v>218</v>
      </c>
      <c r="B55" s="1684" t="s">
        <v>219</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21688" customFormat="1" customHeight="1" ht="1.05">
      <c r="A56" s="1684" t="s">
        <v>218</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2168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6093D-EFC9-59F1-A625-3AA4131EE5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4" width="3.7109375" hidden="1" customWidth="1"/>
    <col min="17" max="18" style="22595" width="3.00390625" customWidth="1"/>
    <col min="19" max="19" style="22596" width="12.00390625" customWidth="1"/>
    <col min="20" max="20" style="21605" width="31.00390625" customWidth="1"/>
    <col min="21" max="21" style="21605" width="0.140625" customWidth="1"/>
    <col min="22" max="22" style="21605" width="24.7109375" hidden="1" customWidth="1"/>
    <col min="23" max="23" style="21605" width="0.140625" hidden="1" customWidth="1"/>
    <col min="24" max="25" style="21605" width="24.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24.7109375" customWidth="1"/>
    <col min="31" max="31" style="21605" width="0.140625" customWidth="1"/>
    <col min="32" max="33" style="21605" width="24.00390625" customWidth="1"/>
    <col min="34" max="34" style="21605" width="11.00390625" customWidth="1"/>
    <col min="35" max="35" style="21605" width="3.7109375" customWidth="1"/>
    <col min="36" max="36" style="21605" width="11.00390625" customWidth="1"/>
    <col min="37" max="37" style="21605" width="8.57421875" hidden="1" customWidth="1"/>
    <col min="38" max="38" style="21605" width="4.00390625" customWidth="1"/>
    <col min="39" max="39" style="21605" width="115.00390625" customWidth="1"/>
    <col min="40" max="44" style="21688" width="10.00390625" customWidth="1"/>
    <col min="45" max="45" style="21605"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164</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510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511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512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513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514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515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516</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517</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520</v>
      </c>
      <c r="M7" s="878"/>
      <c r="N7" s="1707"/>
      <c r="P7" s="2598"/>
      <c r="Q7" s="2598">
        <v>1</v>
      </c>
      <c r="R7" s="698"/>
      <c r="S7" s="1677">
        <f>$J7</f>
      </c>
      <c r="T7" s="627" t="s">
        <v>521</v>
      </c>
      <c r="U7" s="641"/>
      <c r="V7" s="2586"/>
      <c r="W7" s="2587"/>
      <c r="X7" s="2587"/>
      <c r="Y7" s="2587"/>
      <c r="Z7" s="2587"/>
      <c r="AA7" s="2587"/>
      <c r="AB7" s="2587"/>
      <c r="AC7" s="2588"/>
      <c r="AD7" s="2586"/>
      <c r="AE7" s="2587"/>
      <c r="AF7" s="2587"/>
      <c r="AG7" s="2587"/>
      <c r="AH7" s="2587"/>
      <c r="AI7" s="2587"/>
      <c r="AJ7" s="2587"/>
      <c r="AK7" s="2587"/>
      <c r="AL7" s="2588"/>
      <c r="AM7" s="1599" t="s">
        <v>522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523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524</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525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526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21688"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528</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21688"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280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21688"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339</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21687" customFormat="1" customHeight="1" ht="22.5" hidden="1">
      <c r="L20" s="1670"/>
      <c r="M20" s="1703"/>
      <c r="N20" s="1703"/>
      <c r="O20" s="1708" t="s">
        <v>529</v>
      </c>
      <c r="P20" s="1703"/>
      <c r="Q20" s="1712"/>
      <c r="R20" s="1712"/>
      <c r="S20" s="1070"/>
      <c r="Z20" s="1708"/>
      <c r="AB20" s="1708"/>
      <c r="AC20" s="1707"/>
      <c r="AH20" s="1708"/>
      <c r="AJ20" s="1708"/>
      <c r="AK20" s="1707"/>
      <c r="AN20" s="852"/>
      <c r="AO20" s="852"/>
      <c r="AP20" s="852"/>
      <c r="AQ20" s="852"/>
      <c r="AR20" s="852"/>
      <c r="AS20" s="1501">
        <v>0</v>
      </c>
    </row>
    <row s="21687" customFormat="1" customHeight="1" ht="14.25" hidden="1">
      <c r="L21" s="1670"/>
      <c r="M21" s="1703"/>
      <c r="N21" s="1703"/>
      <c r="O21" s="1703"/>
      <c r="P21" s="1703"/>
      <c r="Q21" s="1712"/>
      <c r="R21" s="1712"/>
      <c r="S21" s="1070"/>
      <c r="AC21" s="1707"/>
      <c r="AK21" s="1707"/>
      <c r="AN21" s="852"/>
      <c r="AO21" s="852"/>
      <c r="AP21" s="852"/>
      <c r="AQ21" s="852"/>
      <c r="AR21" s="852"/>
      <c r="AS21" s="1501">
        <v>0</v>
      </c>
    </row>
    <row s="21687" customFormat="1" customHeight="1" ht="14.25" hidden="1">
      <c r="L22" s="1670"/>
      <c r="M22" s="1703"/>
      <c r="N22" s="1703"/>
      <c r="O22" s="1705" t="s">
        <v>530</v>
      </c>
      <c r="P22" s="1703"/>
      <c r="Q22" s="1712"/>
      <c r="R22" s="1712"/>
      <c r="S22" s="1070"/>
      <c r="T22" s="1501" t="s">
        <v>531</v>
      </c>
      <c r="AA22" s="527" t="s">
        <v>532</v>
      </c>
      <c r="AC22" s="527" t="s">
        <v>533</v>
      </c>
      <c r="AD22" s="1501" t="s">
        <v>531</v>
      </c>
      <c r="AI22" s="527" t="s">
        <v>534</v>
      </c>
      <c r="AK22" s="527" t="s">
        <v>533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2182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535</v>
      </c>
      <c r="T30" s="2591"/>
      <c r="U30" s="1713"/>
      <c r="V30" s="2605" t="str">
        <f>IF(TITLE_DATE_PR_CHANGE="",IF(TITLE_DATE_PR="","",TITLE_DATE_PR),TITLE_DATE_PR_CHANGE)</f>
        <v>45408.52040509259</v>
      </c>
      <c r="W30" s="2605"/>
      <c r="X30" s="2605"/>
      <c r="Y30" s="2605"/>
      <c r="Z30" s="2605"/>
      <c r="AA30" s="2605"/>
      <c r="AB30" s="2605"/>
      <c r="AC30" s="667"/>
      <c r="AD30" s="2605" t="str">
        <f>IF(TITLE_DATE_PR_CHANGE="",IF(TITLE_DATE_PR="","",TITLE_DATE_PR),TITLE_DATE_PR_CHANGE)</f>
        <v>45408.52040509259</v>
      </c>
      <c r="AE30" s="2605"/>
      <c r="AF30" s="2605"/>
      <c r="AG30" s="2605"/>
      <c r="AH30" s="2605"/>
      <c r="AI30" s="2605"/>
      <c r="AJ30" s="2605"/>
      <c r="AK30" s="667"/>
      <c r="AL30" s="667"/>
      <c r="AM30" s="621"/>
      <c r="AN30" s="709"/>
      <c r="AO30" s="709"/>
      <c r="AP30" s="709"/>
      <c r="AQ30" s="709"/>
      <c r="AR30" s="709"/>
      <c r="AS30" s="759">
        <v>0</v>
      </c>
    </row>
    <row s="21825" customFormat="1" customHeight="1" ht="18.75" hidden="1">
      <c r="A31" s="1709"/>
      <c r="B31" s="1709"/>
      <c r="C31" s="1709"/>
      <c r="D31" s="1709"/>
      <c r="E31" s="1709"/>
      <c r="F31" s="1709"/>
      <c r="G31" s="1709"/>
      <c r="H31" s="1709"/>
      <c r="I31" s="1709"/>
      <c r="J31" s="1709"/>
      <c r="K31" s="1709"/>
      <c r="L31" s="1710"/>
      <c r="M31" s="1709"/>
      <c r="N31" s="1709"/>
      <c r="O31" s="1709"/>
      <c r="S31" s="2591" t="s">
        <v>536</v>
      </c>
      <c r="T31" s="2591"/>
      <c r="U31" s="1713"/>
      <c r="V31" s="2592" t="str">
        <f>IF(TITLE_NUMBER_PR_CHANGE="",IF(TITLE_NUMBER_PR="","",TITLE_NUMBER_PR),TITLE_NUMBER_PR_CHANGE)</f>
        <v>27-2139</v>
      </c>
      <c r="W31" s="2592"/>
      <c r="X31" s="2592"/>
      <c r="Y31" s="2592"/>
      <c r="Z31" s="2592"/>
      <c r="AA31" s="2592"/>
      <c r="AB31" s="2592"/>
      <c r="AC31" s="667"/>
      <c r="AD31" s="2592" t="str">
        <f>IF(TITLE_NUMBER_PR_CHANGE="",IF(TITLE_NUMBER_PR="","",TITLE_NUMBER_PR),TITLE_NUMBER_PR_CHANGE)</f>
        <v>27-2139</v>
      </c>
      <c r="AE31" s="2592"/>
      <c r="AF31" s="2592"/>
      <c r="AG31" s="2592"/>
      <c r="AH31" s="2592"/>
      <c r="AI31" s="2592"/>
      <c r="AJ31" s="2592"/>
      <c r="AK31" s="667"/>
      <c r="AL31" s="667"/>
      <c r="AM31" s="621"/>
      <c r="AN31" s="709"/>
      <c r="AO31" s="709"/>
      <c r="AP31" s="709"/>
      <c r="AQ31" s="709"/>
      <c r="AR31" s="709"/>
      <c r="AS31" s="759">
        <v>0</v>
      </c>
    </row>
    <row s="2182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21825" customFormat="1" customHeight="1" ht="18.75">
      <c r="A34" s="1709"/>
      <c r="B34" s="1709"/>
      <c r="C34" s="1709"/>
      <c r="D34" s="1709"/>
      <c r="E34" s="1709"/>
      <c r="F34" s="1709"/>
      <c r="G34" s="1709"/>
      <c r="H34" s="1709"/>
      <c r="I34" s="1709"/>
      <c r="J34" s="1709"/>
      <c r="K34" s="1709"/>
      <c r="L34" s="1710"/>
      <c r="M34" s="1709"/>
      <c r="N34" s="1709"/>
      <c r="O34" s="1709"/>
      <c r="S34" s="2591" t="s">
        <v>537</v>
      </c>
      <c r="T34" s="2591"/>
      <c r="U34" s="1713"/>
      <c r="V34" s="2605" t="str">
        <f>IF(TITLE_DATE_PR_CHANGE="",IF(TITLE_DATE_PR="","",TITLE_DATE_PR),TITLE_DATE_PR_CHANGE)</f>
        <v>45408.52040509259</v>
      </c>
      <c r="W34" s="2605"/>
      <c r="X34" s="2605"/>
      <c r="Y34" s="2605"/>
      <c r="Z34" s="2605"/>
      <c r="AA34" s="2605"/>
      <c r="AB34" s="2605"/>
      <c r="AC34" s="667"/>
      <c r="AD34" s="2605" t="str">
        <f>IF(TITLE_DATE_PR_CHANGE="",IF(TITLE_DATE_PR="","",TITLE_DATE_PR),TITLE_DATE_PR_CHANGE)</f>
        <v>45408.52040509259</v>
      </c>
      <c r="AE34" s="2605"/>
      <c r="AF34" s="2605"/>
      <c r="AG34" s="2605"/>
      <c r="AH34" s="2605"/>
      <c r="AI34" s="2605"/>
      <c r="AJ34" s="2605"/>
      <c r="AK34" s="667"/>
      <c r="AL34" s="667"/>
      <c r="AM34" s="621"/>
      <c r="AN34" s="709"/>
      <c r="AO34" s="709"/>
      <c r="AP34" s="709"/>
      <c r="AQ34" s="709"/>
      <c r="AR34" s="709"/>
      <c r="AS34" s="759">
        <v>0</v>
      </c>
    </row>
    <row s="21825" customFormat="1" customHeight="1" ht="25.5">
      <c r="A35" s="1709"/>
      <c r="B35" s="1709"/>
      <c r="C35" s="1709"/>
      <c r="D35" s="1709"/>
      <c r="E35" s="1709"/>
      <c r="F35" s="1709"/>
      <c r="G35" s="1709"/>
      <c r="H35" s="1709"/>
      <c r="I35" s="1709"/>
      <c r="J35" s="1709"/>
      <c r="K35" s="1709"/>
      <c r="L35" s="1710"/>
      <c r="M35" s="1709"/>
      <c r="N35" s="1709"/>
      <c r="O35" s="1709"/>
      <c r="S35" s="2591" t="s">
        <v>538</v>
      </c>
      <c r="T35" s="2591"/>
      <c r="U35" s="1713"/>
      <c r="V35" s="2592" t="str">
        <f>IF(TITLE_NUMBER_PR_CHANGE="",IF(TITLE_NUMBER_PR="","",TITLE_NUMBER_PR),TITLE_NUMBER_PR_CHANGE)</f>
        <v>27-2139</v>
      </c>
      <c r="W35" s="2592"/>
      <c r="X35" s="2592"/>
      <c r="Y35" s="2592"/>
      <c r="Z35" s="2592"/>
      <c r="AA35" s="2592"/>
      <c r="AB35" s="2592"/>
      <c r="AC35" s="667"/>
      <c r="AD35" s="2592" t="str">
        <f>IF(TITLE_NUMBER_PR_CHANGE="",IF(TITLE_NUMBER_PR="","",TITLE_NUMBER_PR),TITLE_NUMBER_PR_CHANGE)</f>
        <v>27-2139</v>
      </c>
      <c r="AE35" s="2592"/>
      <c r="AF35" s="2592"/>
      <c r="AG35" s="2592"/>
      <c r="AH35" s="2592"/>
      <c r="AI35" s="2592"/>
      <c r="AJ35" s="2592"/>
      <c r="AK35" s="667"/>
      <c r="AL35" s="667"/>
      <c r="AM35" s="621"/>
      <c r="AN35" s="709"/>
      <c r="AO35" s="709"/>
      <c r="AP35" s="709"/>
      <c r="AQ35" s="709"/>
      <c r="AR35" s="709"/>
      <c r="AS35" s="759">
        <v>0</v>
      </c>
    </row>
    <row s="2182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539</v>
      </c>
      <c r="AD36" s="667"/>
      <c r="AE36" s="667"/>
      <c r="AF36" s="667"/>
      <c r="AG36" s="667"/>
      <c r="AH36" s="667"/>
      <c r="AI36" s="667"/>
      <c r="AJ36" s="667"/>
      <c r="AK36" s="619" t="s">
        <v>539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414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415</v>
      </c>
      <c r="AS38" s="1496">
        <v>14</v>
      </c>
    </row>
    <row customHeight="1" ht="14.699999999999998">
      <c r="Q39" s="717"/>
      <c r="R39" s="717"/>
      <c r="S39" s="2614" t="s">
        <v>88</v>
      </c>
      <c r="T39" s="2550" t="s">
        <v>540</v>
      </c>
      <c r="U39" s="642"/>
      <c r="V39" s="2615" t="s">
        <v>541</v>
      </c>
      <c r="W39" s="2616"/>
      <c r="X39" s="2616"/>
      <c r="Y39" s="2616"/>
      <c r="Z39" s="2616"/>
      <c r="AA39" s="2616"/>
      <c r="AB39" s="2617"/>
      <c r="AC39" s="2618" t="s">
        <v>542</v>
      </c>
      <c r="AD39" s="2615" t="s">
        <v>541</v>
      </c>
      <c r="AE39" s="2616"/>
      <c r="AF39" s="2616"/>
      <c r="AG39" s="2616"/>
      <c r="AH39" s="2616"/>
      <c r="AI39" s="2616"/>
      <c r="AJ39" s="2617"/>
      <c r="AK39" s="2618" t="s">
        <v>543</v>
      </c>
      <c r="AL39" s="2621" t="s">
        <v>544</v>
      </c>
      <c r="AM39" s="2468"/>
      <c r="AS39" s="1496">
        <v>14</v>
      </c>
    </row>
    <row customHeight="1" ht="35.699999999999996">
      <c r="Q40" s="717"/>
      <c r="R40" s="717"/>
      <c r="S40" s="2614"/>
      <c r="T40" s="2550"/>
      <c r="U40" s="1372"/>
      <c r="V40" s="2601" t="s">
        <v>545</v>
      </c>
      <c r="W40" s="2624"/>
      <c r="X40" s="2603" t="s">
        <v>547</v>
      </c>
      <c r="Y40" s="2604"/>
      <c r="Z40" s="2603" t="s">
        <v>548</v>
      </c>
      <c r="AA40" s="2610"/>
      <c r="AB40" s="2604"/>
      <c r="AC40" s="2619"/>
      <c r="AD40" s="2601" t="s">
        <v>561</v>
      </c>
      <c r="AE40" s="2624"/>
      <c r="AF40" s="2603" t="s">
        <v>547</v>
      </c>
      <c r="AG40" s="2604"/>
      <c r="AH40" s="2603" t="s">
        <v>548</v>
      </c>
      <c r="AI40" s="2610"/>
      <c r="AJ40" s="2604"/>
      <c r="AK40" s="2619"/>
      <c r="AL40" s="2622"/>
      <c r="AM40" s="2468"/>
      <c r="AS40" s="1496">
        <v>34</v>
      </c>
    </row>
    <row customHeight="1" ht="35.699999999999996">
      <c r="A41" s="1711"/>
      <c r="B41" s="1711" t="s">
        <v>176</v>
      </c>
      <c r="C41" s="1711" t="s">
        <v>177</v>
      </c>
      <c r="D41" s="1711" t="s">
        <v>178</v>
      </c>
      <c r="E41" s="1705" t="s">
        <v>549</v>
      </c>
      <c r="F41" s="1705" t="s">
        <v>550</v>
      </c>
      <c r="G41" s="1705" t="s">
        <v>551</v>
      </c>
      <c r="H41" s="1705" t="s">
        <v>552</v>
      </c>
      <c r="I41" s="1705" t="s">
        <v>553</v>
      </c>
      <c r="J41" s="1705" t="s">
        <v>554</v>
      </c>
      <c r="K41" s="1705" t="s">
        <v>555</v>
      </c>
      <c r="L41" s="1705" t="s">
        <v>530</v>
      </c>
      <c r="Q41" s="717"/>
      <c r="R41" s="717"/>
      <c r="S41" s="2614"/>
      <c r="T41" s="2550"/>
      <c r="U41" s="643"/>
      <c r="V41" s="2602"/>
      <c r="W41" s="2625"/>
      <c r="X41" s="1563" t="s">
        <v>556</v>
      </c>
      <c r="Y41" s="1563" t="s">
        <v>557</v>
      </c>
      <c r="Z41" s="1679" t="s">
        <v>558</v>
      </c>
      <c r="AA41" s="2611" t="s">
        <v>559</v>
      </c>
      <c r="AB41" s="2612"/>
      <c r="AC41" s="2620"/>
      <c r="AD41" s="2602"/>
      <c r="AE41" s="2625"/>
      <c r="AF41" s="1563" t="s">
        <v>556</v>
      </c>
      <c r="AG41" s="1563" t="s">
        <v>557</v>
      </c>
      <c r="AH41" s="1679" t="s">
        <v>558</v>
      </c>
      <c r="AI41" s="2611" t="s">
        <v>559</v>
      </c>
      <c r="AJ41" s="2612"/>
      <c r="AK41" s="2620"/>
      <c r="AL41" s="2623"/>
      <c r="AM41" s="2468"/>
      <c r="AS41" s="1496">
        <v>34</v>
      </c>
    </row>
    <row s="2235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145</v>
      </c>
      <c r="T42" s="1596" t="s">
        <v>103</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224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164</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224</v>
      </c>
      <c r="B44" s="1704" t="s">
        <v>225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511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512</v>
      </c>
      <c r="AO44" s="841"/>
      <c r="AP44" s="841" t="str">
        <f>IF(T44="","",T44)</f>
        <v>Территория действия тарифа</v>
      </c>
      <c r="AQ44" s="841"/>
      <c r="AR44" s="841"/>
      <c r="AS44" s="1496">
        <v>21</v>
      </c>
    </row>
    <row customHeight="1" ht="24">
      <c r="A45" s="1704" t="s">
        <v>224</v>
      </c>
      <c r="B45" s="1704" t="s">
        <v>225</v>
      </c>
      <c r="C45" s="1704" t="s">
        <v>226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513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514</v>
      </c>
      <c r="AO45" s="841"/>
      <c r="AP45" s="841" t="str">
        <f>IF(T45="","",T45)</f>
        <v>Наименование системы теплоснабжения </v>
      </c>
      <c r="AQ45" s="841"/>
      <c r="AR45" s="841"/>
      <c r="AS45" s="1496">
        <v>23</v>
      </c>
    </row>
    <row customHeight="1" ht="22.049999999999997">
      <c r="A46" s="1704" t="s">
        <v>224</v>
      </c>
      <c r="B46" s="1704" t="s">
        <v>225</v>
      </c>
      <c r="C46" s="1704" t="s">
        <v>226</v>
      </c>
      <c r="D46" s="1704" t="s">
        <v>227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515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516</v>
      </c>
      <c r="AO46" s="841"/>
      <c r="AP46" s="841" t="str">
        <f>IF(T46="","",T46)</f>
        <v>Источник тепловой энергии  </v>
      </c>
      <c r="AQ46" s="841"/>
      <c r="AR46" s="841"/>
      <c r="AS46" s="1496">
        <v>21</v>
      </c>
    </row>
    <row s="21688" customFormat="1" customHeight="1" ht="0">
      <c r="A47" s="1684" t="s">
        <v>224</v>
      </c>
      <c r="B47" s="1684" t="s">
        <v>225</v>
      </c>
      <c r="C47" s="1684" t="s">
        <v>226</v>
      </c>
      <c r="D47" s="1684" t="s">
        <v>227</v>
      </c>
      <c r="E47" s="2600"/>
      <c r="F47" s="2600"/>
      <c r="G47" s="2600"/>
      <c r="H47" s="2600"/>
      <c r="I47" s="2597" t="str">
        <f>S46&amp;".1"</f>
        <v>....1</v>
      </c>
      <c r="J47" s="1684"/>
      <c r="K47" s="1684"/>
      <c r="L47" s="1687" t="s">
        <v>517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224</v>
      </c>
      <c r="B48" s="1704" t="s">
        <v>225</v>
      </c>
      <c r="C48" s="1704" t="s">
        <v>226</v>
      </c>
      <c r="D48" s="1704" t="s">
        <v>227</v>
      </c>
      <c r="E48" s="2600"/>
      <c r="F48" s="2600"/>
      <c r="G48" s="2600"/>
      <c r="H48" s="2600"/>
      <c r="I48" s="2627"/>
      <c r="J48" s="2597" t="str">
        <f>S46&amp;".1"</f>
        <v>....1</v>
      </c>
      <c r="K48" s="1704"/>
      <c r="L48" s="1705" t="s">
        <v>520</v>
      </c>
      <c r="P48" s="2598"/>
      <c r="Q48" s="2598">
        <v>1</v>
      </c>
      <c r="R48" s="698"/>
      <c r="S48" s="1677" t="str">
        <f>$J48</f>
        <v>....1</v>
      </c>
      <c r="T48" s="627" t="s">
        <v>521</v>
      </c>
      <c r="U48" s="641"/>
      <c r="V48" s="2586"/>
      <c r="W48" s="2587"/>
      <c r="X48" s="2587"/>
      <c r="Y48" s="2587"/>
      <c r="Z48" s="2587"/>
      <c r="AA48" s="2587"/>
      <c r="AB48" s="2587"/>
      <c r="AC48" s="2588"/>
      <c r="AD48" s="2586"/>
      <c r="AE48" s="2587"/>
      <c r="AF48" s="2587"/>
      <c r="AG48" s="2587"/>
      <c r="AH48" s="2587"/>
      <c r="AI48" s="2587"/>
      <c r="AJ48" s="2587"/>
      <c r="AK48" s="2587"/>
      <c r="AL48" s="2588"/>
      <c r="AM48" s="1599" t="s">
        <v>522</v>
      </c>
      <c r="AO48" s="841"/>
      <c r="AP48" s="841" t="str">
        <f>IF(T48="","",T48)</f>
        <v>Группа потребителей</v>
      </c>
      <c r="AQ48" s="841"/>
      <c r="AR48" s="841"/>
      <c r="AS48" s="1496">
        <v>21</v>
      </c>
    </row>
    <row customHeight="1" ht="22.049999999999997">
      <c r="A49" s="1704" t="s">
        <v>224</v>
      </c>
      <c r="B49" s="1704" t="s">
        <v>225</v>
      </c>
      <c r="C49" s="1704" t="s">
        <v>226</v>
      </c>
      <c r="D49" s="1704" t="s">
        <v>227</v>
      </c>
      <c r="E49" s="2600"/>
      <c r="F49" s="2600"/>
      <c r="G49" s="2600"/>
      <c r="H49" s="2600"/>
      <c r="I49" s="2627"/>
      <c r="J49" s="2627"/>
      <c r="K49" s="2597" t="str">
        <f>J48&amp;".1"</f>
        <v>....1.1</v>
      </c>
      <c r="L49" s="1705" t="s">
        <v>523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562</v>
      </c>
      <c r="AN49" s="852">
        <f>STRCHECKDATE(V50:AL50)</f>
      </c>
      <c r="AO49" s="841"/>
      <c r="AP49" s="841" t="str">
        <f>IF(T49="","",T49)</f>
        <v/>
      </c>
      <c r="AQ49" s="841"/>
      <c r="AR49" s="841"/>
      <c r="AS49" s="1496">
        <v>21</v>
      </c>
    </row>
    <row customHeight="1" ht="0">
      <c r="A50" s="1704" t="s">
        <v>224</v>
      </c>
      <c r="B50" s="1704" t="s">
        <v>225</v>
      </c>
      <c r="C50" s="1704" t="s">
        <v>226</v>
      </c>
      <c r="D50" s="1704" t="s">
        <v>227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224</v>
      </c>
      <c r="B51" s="1704" t="s">
        <v>225</v>
      </c>
      <c r="C51" s="1704" t="s">
        <v>226</v>
      </c>
      <c r="D51" s="1704" t="s">
        <v>227</v>
      </c>
      <c r="E51" s="2600"/>
      <c r="F51" s="2600"/>
      <c r="G51" s="2600"/>
      <c r="H51" s="2600"/>
      <c r="I51" s="2627"/>
      <c r="J51" s="2597"/>
      <c r="K51" s="1704"/>
      <c r="L51" s="1705"/>
      <c r="P51" s="2598"/>
      <c r="Q51" s="2598"/>
      <c r="R51" s="697"/>
      <c r="S51" s="1619"/>
      <c r="T51" s="628" t="s">
        <v>525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224</v>
      </c>
      <c r="B52" s="1704" t="s">
        <v>225</v>
      </c>
      <c r="C52" s="1704" t="s">
        <v>226</v>
      </c>
      <c r="D52" s="1704" t="s">
        <v>227</v>
      </c>
      <c r="E52" s="2600"/>
      <c r="F52" s="2600"/>
      <c r="G52" s="2600"/>
      <c r="H52" s="2600"/>
      <c r="I52" s="2597"/>
      <c r="J52" s="1704"/>
      <c r="K52" s="1704"/>
      <c r="L52" s="1705"/>
      <c r="P52" s="2598"/>
      <c r="Q52" s="1672"/>
      <c r="R52" s="697"/>
      <c r="S52" s="1619"/>
      <c r="T52" s="706" t="s">
        <v>526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224</v>
      </c>
      <c r="B53" s="1704" t="s">
        <v>225</v>
      </c>
      <c r="C53" s="1704" t="s">
        <v>226</v>
      </c>
      <c r="D53" s="1704" t="s">
        <v>227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21688" customFormat="1" customHeight="1" ht="0">
      <c r="A54" s="1684" t="s">
        <v>224</v>
      </c>
      <c r="B54" s="1684" t="s">
        <v>225</v>
      </c>
      <c r="C54" s="1684" t="s">
        <v>226</v>
      </c>
      <c r="D54" s="1655"/>
      <c r="E54" s="2600"/>
      <c r="F54" s="2600"/>
      <c r="G54" s="2599"/>
      <c r="H54" s="1655"/>
      <c r="I54" s="1655"/>
      <c r="J54" s="1655"/>
      <c r="K54" s="1655"/>
      <c r="L54" s="1680"/>
      <c r="M54" s="1656"/>
      <c r="N54" s="1656"/>
      <c r="P54" s="1657"/>
      <c r="Q54" s="1658"/>
      <c r="R54" s="1657"/>
      <c r="S54" s="1663"/>
      <c r="T54" s="1666" t="s">
        <v>528</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21688" customFormat="1" customHeight="1" ht="0">
      <c r="A55" s="1684" t="s">
        <v>224</v>
      </c>
      <c r="B55" s="1684" t="s">
        <v>225</v>
      </c>
      <c r="C55" s="1655"/>
      <c r="D55" s="1655"/>
      <c r="E55" s="2600"/>
      <c r="F55" s="2599"/>
      <c r="G55" s="1655"/>
      <c r="H55" s="1655"/>
      <c r="I55" s="1655"/>
      <c r="J55" s="1655"/>
      <c r="K55" s="1655"/>
      <c r="L55" s="1680"/>
      <c r="M55" s="1662"/>
      <c r="N55" s="1662"/>
      <c r="P55" s="1657"/>
      <c r="Q55" s="1658"/>
      <c r="R55" s="1657"/>
      <c r="S55" s="1663"/>
      <c r="T55" s="1666" t="s">
        <v>280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21688" customFormat="1" customHeight="1" ht="0">
      <c r="A56" s="1684" t="s">
        <v>224</v>
      </c>
      <c r="B56" s="1684"/>
      <c r="C56" s="1684"/>
      <c r="D56" s="1684"/>
      <c r="E56" s="2599"/>
      <c r="F56" s="1684"/>
      <c r="G56" s="1684"/>
      <c r="H56" s="1684"/>
      <c r="I56" s="1684"/>
      <c r="J56" s="1684"/>
      <c r="K56" s="1684"/>
      <c r="L56" s="1687"/>
      <c r="M56" s="1662"/>
      <c r="N56" s="1662"/>
      <c r="O56" s="859"/>
      <c r="P56" s="721"/>
      <c r="Q56" s="1685"/>
      <c r="R56" s="721"/>
      <c r="S56" s="1663"/>
      <c r="T56" s="1666" t="s">
        <v>339</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21688"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340</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7E3F2-4FBF-904D-2DC1-0AB148F57A1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1605" width="10.57421875" hidden="1"/>
    <col min="2" max="2" style="21605" width="11.00390625" hidden="1" customWidth="1"/>
    <col min="3" max="3" style="21605" width="10.57421875" hidden="1"/>
    <col min="4" max="4" style="21605" width="11.8515625" hidden="1" customWidth="1"/>
    <col min="5" max="5" style="21605" width="10.00390625" hidden="1" customWidth="1"/>
    <col min="6" max="6" style="21605" width="8.7109375" hidden="1" customWidth="1"/>
    <col min="7" max="7" style="21605" width="7.57421875" hidden="1" customWidth="1"/>
    <col min="8" max="8" style="21605" width="11.421875" hidden="1" customWidth="1"/>
    <col min="9" max="9" style="21605" width="12.00390625" hidden="1" customWidth="1"/>
    <col min="10" max="10" style="21605" width="9.8515625" hidden="1" customWidth="1"/>
    <col min="11" max="12" style="21605" width="11.421875" hidden="1" customWidth="1"/>
    <col min="13" max="13" style="21685" width="19.140625" hidden="1" customWidth="1"/>
    <col min="14" max="15" style="22594" width="12.28125" hidden="1" customWidth="1"/>
    <col min="16" max="16" style="22594" width="23.421875" hidden="1" customWidth="1"/>
    <col min="17" max="17" style="22594" width="3.7109375" hidden="1" customWidth="1"/>
    <col min="18" max="20" style="22595" width="3.00390625" customWidth="1"/>
    <col min="21" max="21" style="22596" width="12.00390625" customWidth="1"/>
    <col min="22" max="22" style="21605" width="31.00390625" customWidth="1"/>
    <col min="23" max="23" style="21605" width="0.140625" customWidth="1"/>
    <col min="24" max="28" style="21605" width="21.7109375" hidden="1" customWidth="1"/>
    <col min="29" max="29" style="21605" width="11.7109375" hidden="1" customWidth="1"/>
    <col min="30" max="30" style="21605" width="3.7109375" hidden="1" customWidth="1"/>
    <col min="31" max="31" style="21605" width="11.7109375" hidden="1" customWidth="1"/>
    <col min="32" max="32" style="21605" width="8.57421875" hidden="1" customWidth="1"/>
    <col min="33" max="33" style="21605" width="21.7109375" customWidth="1"/>
    <col min="34" max="37" style="21605" width="21.00390625" customWidth="1"/>
    <col min="38" max="38" style="21605" width="11.00390625" customWidth="1"/>
    <col min="39" max="39" style="21605" width="3.7109375" customWidth="1"/>
    <col min="40" max="40" style="21605" width="11.00390625" customWidth="1"/>
    <col min="41" max="41" style="21605" width="8.57421875" hidden="1" customWidth="1"/>
    <col min="42" max="42" style="21605" width="4.00390625" customWidth="1"/>
    <col min="43" max="43" style="21605" width="115.00390625" customWidth="1"/>
    <col min="44" max="48" style="21688" width="10.00390625" customWidth="1"/>
    <col min="49" max="49" style="21605"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164</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510</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511</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512</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513</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514</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515</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516</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517</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520</v>
      </c>
      <c r="N7" s="850"/>
      <c r="O7" s="668"/>
      <c r="Q7" s="2598"/>
      <c r="R7" s="2598">
        <v>1</v>
      </c>
      <c r="S7" s="859"/>
      <c r="T7" s="698"/>
      <c r="U7" s="1677">
        <f>$J7</f>
      </c>
      <c r="V7" s="627" t="s">
        <v>521</v>
      </c>
      <c r="W7" s="641"/>
      <c r="X7" s="2586"/>
      <c r="Y7" s="2587"/>
      <c r="Z7" s="2587"/>
      <c r="AA7" s="2587"/>
      <c r="AB7" s="2587"/>
      <c r="AC7" s="2576"/>
      <c r="AD7" s="2576"/>
      <c r="AE7" s="2576"/>
      <c r="AF7" s="2649"/>
      <c r="AG7" s="2586"/>
      <c r="AH7" s="2587"/>
      <c r="AI7" s="2587"/>
      <c r="AJ7" s="2587"/>
      <c r="AK7" s="2587"/>
      <c r="AL7" s="2587"/>
      <c r="AM7" s="2587"/>
      <c r="AN7" s="2587"/>
      <c r="AO7" s="2587"/>
      <c r="AP7" s="2588"/>
      <c r="AQ7" s="1599" t="s">
        <v>522</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523</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563</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564</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565</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525</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526</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21688"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528</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21688"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280</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21688"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339</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21687" customFormat="1" customHeight="1" ht="22.5" hidden="1">
      <c r="A24" s="1496"/>
      <c r="B24" s="1496"/>
      <c r="C24" s="1496"/>
      <c r="D24" s="1496"/>
      <c r="E24" s="1496"/>
      <c r="F24" s="1496"/>
      <c r="G24" s="1496"/>
      <c r="H24" s="1496"/>
      <c r="I24" s="1496"/>
      <c r="J24" s="1496"/>
      <c r="K24" s="1496"/>
      <c r="L24" s="1496"/>
      <c r="M24" s="1668"/>
      <c r="N24" s="1669"/>
      <c r="O24" s="1669"/>
      <c r="P24" s="1686" t="s">
        <v>529</v>
      </c>
      <c r="Q24" s="1703"/>
      <c r="R24" s="1712"/>
      <c r="S24" s="1712"/>
      <c r="T24" s="1712"/>
      <c r="U24" s="1070"/>
      <c r="AC24" s="1708"/>
      <c r="AE24" s="1708"/>
      <c r="AF24" s="1707"/>
      <c r="AL24" s="1708"/>
      <c r="AN24" s="1708"/>
      <c r="AO24" s="1707"/>
      <c r="AR24" s="852"/>
      <c r="AS24" s="852"/>
      <c r="AT24" s="852"/>
      <c r="AU24" s="852"/>
      <c r="AV24" s="852"/>
      <c r="AW24" s="1501">
        <v>0</v>
      </c>
    </row>
    <row s="21687"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21687" customFormat="1" customHeight="1" ht="14.25" hidden="1">
      <c r="A26" s="1496"/>
      <c r="B26" s="1496"/>
      <c r="C26" s="1496"/>
      <c r="D26" s="1496"/>
      <c r="E26" s="1496"/>
      <c r="F26" s="1496"/>
      <c r="G26" s="1496"/>
      <c r="H26" s="1496"/>
      <c r="I26" s="1496"/>
      <c r="J26" s="1496"/>
      <c r="K26" s="1496"/>
      <c r="L26" s="1496"/>
      <c r="M26" s="1668"/>
      <c r="N26" s="1669"/>
      <c r="O26" s="1669"/>
      <c r="P26" s="1651" t="s">
        <v>530</v>
      </c>
      <c r="Q26" s="1703"/>
      <c r="R26" s="1712"/>
      <c r="S26" s="1712"/>
      <c r="T26" s="1712"/>
      <c r="U26" s="1070"/>
      <c r="V26" s="1501" t="s">
        <v>531</v>
      </c>
      <c r="AD26" s="527" t="s">
        <v>532</v>
      </c>
      <c r="AF26" s="527" t="s">
        <v>533</v>
      </c>
      <c r="AG26" s="1501" t="s">
        <v>531</v>
      </c>
      <c r="AM26" s="527" t="s">
        <v>534</v>
      </c>
      <c r="AO26" s="527" t="s">
        <v>533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КГУП "Примтеплоэнерго"</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21825"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21825" customFormat="1" customHeight="1" ht="18.75" hidden="1">
      <c r="A34" s="1589"/>
      <c r="B34" s="1589"/>
      <c r="C34" s="1589"/>
      <c r="D34" s="1589"/>
      <c r="E34" s="1589"/>
      <c r="F34" s="1589"/>
      <c r="G34" s="1589"/>
      <c r="H34" s="1589"/>
      <c r="I34" s="1589"/>
      <c r="J34" s="1589"/>
      <c r="K34" s="1589"/>
      <c r="L34" s="1589"/>
      <c r="M34" s="1721"/>
      <c r="N34" s="1589"/>
      <c r="O34" s="1589"/>
      <c r="P34" s="1589"/>
      <c r="U34" s="2591" t="s">
        <v>535</v>
      </c>
      <c r="V34" s="2591"/>
      <c r="W34" s="1713"/>
      <c r="X34" s="2605" t="str">
        <f>IF(TITLE_DATE_PR_CHANGE="",IF(TITLE_DATE_PR="","",TITLE_DATE_PR),TITLE_DATE_PR_CHANGE)</f>
        <v>45408.52040509259</v>
      </c>
      <c r="Y34" s="2605"/>
      <c r="Z34" s="2605"/>
      <c r="AA34" s="2605"/>
      <c r="AB34" s="2605"/>
      <c r="AC34" s="2605"/>
      <c r="AD34" s="2605"/>
      <c r="AE34" s="2605"/>
      <c r="AF34" s="667"/>
      <c r="AG34" s="2605" t="str">
        <f>IF(TITLE_DATE_PR_CHANGE="",IF(TITLE_DATE_PR="","",TITLE_DATE_PR),TITLE_DATE_PR_CHANGE)</f>
        <v>45408.52040509259</v>
      </c>
      <c r="AH34" s="2605"/>
      <c r="AI34" s="2605"/>
      <c r="AJ34" s="2605"/>
      <c r="AK34" s="2605"/>
      <c r="AL34" s="2605"/>
      <c r="AM34" s="2605"/>
      <c r="AN34" s="2605"/>
      <c r="AO34" s="667"/>
      <c r="AP34" s="667"/>
      <c r="AQ34" s="621"/>
      <c r="AR34" s="709"/>
      <c r="AS34" s="709"/>
      <c r="AT34" s="709"/>
      <c r="AU34" s="709"/>
      <c r="AV34" s="709"/>
      <c r="AW34" s="759">
        <v>0</v>
      </c>
    </row>
    <row s="21825" customFormat="1" customHeight="1" ht="18.75" hidden="1">
      <c r="A35" s="1589"/>
      <c r="B35" s="1589"/>
      <c r="C35" s="1589"/>
      <c r="D35" s="1589"/>
      <c r="E35" s="1589"/>
      <c r="F35" s="1589"/>
      <c r="G35" s="1589"/>
      <c r="H35" s="1589"/>
      <c r="I35" s="1589"/>
      <c r="J35" s="1589"/>
      <c r="K35" s="1589"/>
      <c r="L35" s="1589"/>
      <c r="M35" s="1721"/>
      <c r="N35" s="1589"/>
      <c r="O35" s="1589"/>
      <c r="P35" s="1589"/>
      <c r="U35" s="2591" t="s">
        <v>536</v>
      </c>
      <c r="V35" s="2591"/>
      <c r="W35" s="1713"/>
      <c r="X35" s="2592" t="str">
        <f>IF(TITLE_NUMBER_PR_CHANGE="",IF(TITLE_NUMBER_PR="","",TITLE_NUMBER_PR),TITLE_NUMBER_PR_CHANGE)</f>
        <v>27-2139</v>
      </c>
      <c r="Y35" s="2592"/>
      <c r="Z35" s="2592"/>
      <c r="AA35" s="2592"/>
      <c r="AB35" s="2592"/>
      <c r="AC35" s="2592"/>
      <c r="AD35" s="2592"/>
      <c r="AE35" s="2592"/>
      <c r="AF35" s="667"/>
      <c r="AG35" s="2592" t="str">
        <f>IF(TITLE_NUMBER_PR_CHANGE="",IF(TITLE_NUMBER_PR="","",TITLE_NUMBER_PR),TITLE_NUMBER_PR_CHANGE)</f>
        <v>27-2139</v>
      </c>
      <c r="AH35" s="2592"/>
      <c r="AI35" s="2592"/>
      <c r="AJ35" s="2592"/>
      <c r="AK35" s="2592"/>
      <c r="AL35" s="2592"/>
      <c r="AM35" s="2592"/>
      <c r="AN35" s="2592"/>
      <c r="AO35" s="667"/>
      <c r="AP35" s="667"/>
      <c r="AQ35" s="621"/>
      <c r="AR35" s="709"/>
      <c r="AS35" s="709"/>
      <c r="AT35" s="709"/>
      <c r="AU35" s="709"/>
      <c r="AV35" s="709"/>
      <c r="AW35" s="759">
        <v>0</v>
      </c>
    </row>
    <row s="21825"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21825" customFormat="1" customHeight="1" ht="18.75">
      <c r="A38" s="1589"/>
      <c r="B38" s="1589"/>
      <c r="C38" s="1589"/>
      <c r="D38" s="1589"/>
      <c r="E38" s="1589"/>
      <c r="F38" s="1589"/>
      <c r="G38" s="1589"/>
      <c r="H38" s="1589"/>
      <c r="I38" s="1589"/>
      <c r="J38" s="1589"/>
      <c r="K38" s="1589"/>
      <c r="L38" s="1589"/>
      <c r="M38" s="1721"/>
      <c r="N38" s="1589"/>
      <c r="O38" s="1589"/>
      <c r="P38" s="1589"/>
      <c r="U38" s="2591" t="s">
        <v>537</v>
      </c>
      <c r="V38" s="2591"/>
      <c r="W38" s="1713"/>
      <c r="X38" s="2605" t="str">
        <f>IF(TITLE_DATE_PR_CHANGE="",IF(TITLE_DATE_PR="","",TITLE_DATE_PR),TITLE_DATE_PR_CHANGE)</f>
        <v>45408.52040509259</v>
      </c>
      <c r="Y38" s="2605"/>
      <c r="Z38" s="2605"/>
      <c r="AA38" s="2605"/>
      <c r="AB38" s="2605"/>
      <c r="AC38" s="2605"/>
      <c r="AD38" s="2605"/>
      <c r="AE38" s="2605"/>
      <c r="AF38" s="667"/>
      <c r="AG38" s="2605" t="str">
        <f>IF(TITLE_DATE_PR_CHANGE="",IF(TITLE_DATE_PR="","",TITLE_DATE_PR),TITLE_DATE_PR_CHANGE)</f>
        <v>45408.52040509259</v>
      </c>
      <c r="AH38" s="2605"/>
      <c r="AI38" s="2605"/>
      <c r="AJ38" s="2605"/>
      <c r="AK38" s="2605"/>
      <c r="AL38" s="2605"/>
      <c r="AM38" s="2605"/>
      <c r="AN38" s="2605"/>
      <c r="AO38" s="667"/>
      <c r="AP38" s="667"/>
      <c r="AQ38" s="621"/>
      <c r="AR38" s="709"/>
      <c r="AS38" s="709"/>
      <c r="AT38" s="709"/>
      <c r="AU38" s="709"/>
      <c r="AV38" s="709"/>
      <c r="AW38" s="759">
        <v>0</v>
      </c>
    </row>
    <row s="21825" customFormat="1" customHeight="1" ht="18.75">
      <c r="A39" s="1589"/>
      <c r="B39" s="1589"/>
      <c r="C39" s="1589"/>
      <c r="D39" s="1589"/>
      <c r="E39" s="1589"/>
      <c r="F39" s="1589"/>
      <c r="G39" s="1589"/>
      <c r="H39" s="1589"/>
      <c r="I39" s="1589"/>
      <c r="J39" s="1589"/>
      <c r="K39" s="1589"/>
      <c r="L39" s="1589"/>
      <c r="M39" s="1721"/>
      <c r="N39" s="1589"/>
      <c r="O39" s="1589"/>
      <c r="P39" s="1589"/>
      <c r="U39" s="2591" t="s">
        <v>538</v>
      </c>
      <c r="V39" s="2591"/>
      <c r="W39" s="1713"/>
      <c r="X39" s="2592" t="str">
        <f>IF(TITLE_NUMBER_PR_CHANGE="",IF(TITLE_NUMBER_PR="","",TITLE_NUMBER_PR),TITLE_NUMBER_PR_CHANGE)</f>
        <v>27-2139</v>
      </c>
      <c r="Y39" s="2592"/>
      <c r="Z39" s="2592"/>
      <c r="AA39" s="2592"/>
      <c r="AB39" s="2592"/>
      <c r="AC39" s="2592"/>
      <c r="AD39" s="2592"/>
      <c r="AE39" s="2592"/>
      <c r="AF39" s="667"/>
      <c r="AG39" s="2592" t="str">
        <f>IF(TITLE_NUMBER_PR_CHANGE="",IF(TITLE_NUMBER_PR="","",TITLE_NUMBER_PR),TITLE_NUMBER_PR_CHANGE)</f>
        <v>27-2139</v>
      </c>
      <c r="AH39" s="2592"/>
      <c r="AI39" s="2592"/>
      <c r="AJ39" s="2592"/>
      <c r="AK39" s="2592"/>
      <c r="AL39" s="2592"/>
      <c r="AM39" s="2592"/>
      <c r="AN39" s="2592"/>
      <c r="AO39" s="667"/>
      <c r="AP39" s="667"/>
      <c r="AQ39" s="621"/>
      <c r="AR39" s="709"/>
      <c r="AS39" s="709"/>
      <c r="AT39" s="709"/>
      <c r="AU39" s="709"/>
      <c r="AV39" s="709"/>
      <c r="AW39" s="759">
        <v>0</v>
      </c>
    </row>
    <row s="21825"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539</v>
      </c>
      <c r="AG40" s="667"/>
      <c r="AH40" s="667"/>
      <c r="AI40" s="667"/>
      <c r="AJ40" s="667"/>
      <c r="AK40" s="667"/>
      <c r="AL40" s="667"/>
      <c r="AM40" s="667"/>
      <c r="AN40" s="667"/>
      <c r="AO40" s="619" t="s">
        <v>539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414</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415</v>
      </c>
      <c r="AW42" s="1496">
        <v>14</v>
      </c>
    </row>
    <row customHeight="1" ht="14.699999999999998">
      <c r="R43" s="717"/>
      <c r="S43" s="717"/>
      <c r="T43" s="717"/>
      <c r="U43" s="2614" t="s">
        <v>88</v>
      </c>
      <c r="V43" s="2550" t="s">
        <v>540</v>
      </c>
      <c r="W43" s="642"/>
      <c r="X43" s="2615" t="s">
        <v>541</v>
      </c>
      <c r="Y43" s="2632"/>
      <c r="Z43" s="2632"/>
      <c r="AA43" s="2632"/>
      <c r="AB43" s="2632"/>
      <c r="AC43" s="2616"/>
      <c r="AD43" s="2616"/>
      <c r="AE43" s="2617"/>
      <c r="AF43" s="2618" t="s">
        <v>542</v>
      </c>
      <c r="AG43" s="2615" t="s">
        <v>541</v>
      </c>
      <c r="AH43" s="2632"/>
      <c r="AI43" s="2632"/>
      <c r="AJ43" s="2632"/>
      <c r="AK43" s="2632"/>
      <c r="AL43" s="2616"/>
      <c r="AM43" s="2616"/>
      <c r="AN43" s="2617"/>
      <c r="AO43" s="2618" t="s">
        <v>543</v>
      </c>
      <c r="AP43" s="2621" t="s">
        <v>544</v>
      </c>
      <c r="AQ43" s="2468"/>
      <c r="AW43" s="1496">
        <v>14</v>
      </c>
    </row>
    <row customHeight="1" ht="35.699999999999996">
      <c r="R44" s="717"/>
      <c r="S44" s="717"/>
      <c r="T44" s="717"/>
      <c r="U44" s="2614"/>
      <c r="V44" s="2550"/>
      <c r="W44" s="1372"/>
      <c r="X44" s="2635" t="s">
        <v>566</v>
      </c>
      <c r="Y44" s="2653" t="s">
        <v>567</v>
      </c>
      <c r="Z44" s="2653"/>
      <c r="AA44" s="2653"/>
      <c r="AB44" s="2653"/>
      <c r="AC44" s="2635" t="s">
        <v>548</v>
      </c>
      <c r="AD44" s="2952"/>
      <c r="AE44" s="2655"/>
      <c r="AF44" s="2619"/>
      <c r="AG44" s="2635" t="s">
        <v>566</v>
      </c>
      <c r="AH44" s="2653" t="s">
        <v>567</v>
      </c>
      <c r="AI44" s="2653"/>
      <c r="AJ44" s="2653"/>
      <c r="AK44" s="2653"/>
      <c r="AL44" s="2635" t="s">
        <v>548</v>
      </c>
      <c r="AM44" s="2952"/>
      <c r="AN44" s="2655"/>
      <c r="AO44" s="2619"/>
      <c r="AP44" s="2622"/>
      <c r="AQ44" s="2468"/>
      <c r="AW44" s="1496">
        <v>34</v>
      </c>
    </row>
    <row customHeight="1" ht="14.699999999999998">
      <c r="R45" s="717"/>
      <c r="S45" s="717"/>
      <c r="T45" s="717"/>
      <c r="U45" s="2614"/>
      <c r="V45" s="2550"/>
      <c r="W45" s="1372"/>
      <c r="X45" s="2666"/>
      <c r="Y45" s="2658" t="s">
        <v>568</v>
      </c>
      <c r="Z45" s="2611" t="s">
        <v>569</v>
      </c>
      <c r="AA45" s="2661"/>
      <c r="AB45" s="2612"/>
      <c r="AC45" s="2636"/>
      <c r="AD45" s="2953"/>
      <c r="AE45" s="2657"/>
      <c r="AF45" s="2619"/>
      <c r="AG45" s="2666"/>
      <c r="AH45" s="2658" t="s">
        <v>568</v>
      </c>
      <c r="AI45" s="2611" t="s">
        <v>569</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570</v>
      </c>
      <c r="AA46" s="2611" t="s">
        <v>571</v>
      </c>
      <c r="AB46" s="2612"/>
      <c r="AC46" s="2658" t="s">
        <v>558</v>
      </c>
      <c r="AD46" s="2662" t="s">
        <v>559</v>
      </c>
      <c r="AE46" s="2663"/>
      <c r="AF46" s="2619"/>
      <c r="AG46" s="2666"/>
      <c r="AH46" s="2659"/>
      <c r="AI46" s="2658" t="s">
        <v>570</v>
      </c>
      <c r="AJ46" s="2611" t="s">
        <v>571</v>
      </c>
      <c r="AK46" s="2612"/>
      <c r="AL46" s="2658" t="s">
        <v>558</v>
      </c>
      <c r="AM46" s="2662" t="s">
        <v>559</v>
      </c>
      <c r="AN46" s="2663"/>
      <c r="AO46" s="2619"/>
      <c r="AP46" s="2622"/>
      <c r="AQ46" s="2468"/>
      <c r="AW46" s="1496">
        <v>26</v>
      </c>
    </row>
    <row customHeight="1" ht="65.25">
      <c r="A47" s="1600"/>
      <c r="B47" s="1600" t="s">
        <v>176</v>
      </c>
      <c r="C47" s="1600" t="s">
        <v>177</v>
      </c>
      <c r="D47" s="1600" t="s">
        <v>178</v>
      </c>
      <c r="E47" s="1651" t="s">
        <v>549</v>
      </c>
      <c r="F47" s="1651" t="s">
        <v>550</v>
      </c>
      <c r="G47" s="1651" t="s">
        <v>551</v>
      </c>
      <c r="H47" s="1651" t="s">
        <v>552</v>
      </c>
      <c r="I47" s="1651" t="s">
        <v>553</v>
      </c>
      <c r="J47" s="1651" t="s">
        <v>554</v>
      </c>
      <c r="K47" s="1651" t="s">
        <v>555</v>
      </c>
      <c r="L47" s="1651" t="s">
        <v>572</v>
      </c>
      <c r="M47" s="1651" t="s">
        <v>530</v>
      </c>
      <c r="R47" s="717"/>
      <c r="S47" s="717"/>
      <c r="T47" s="717"/>
      <c r="U47" s="2614"/>
      <c r="V47" s="2550"/>
      <c r="W47" s="643"/>
      <c r="X47" s="2636"/>
      <c r="Y47" s="2660"/>
      <c r="Z47" s="2660"/>
      <c r="AA47" s="1563" t="s">
        <v>573</v>
      </c>
      <c r="AB47" s="1563" t="s">
        <v>574</v>
      </c>
      <c r="AC47" s="2660"/>
      <c r="AD47" s="2664"/>
      <c r="AE47" s="2665"/>
      <c r="AF47" s="2620"/>
      <c r="AG47" s="2636"/>
      <c r="AH47" s="2660"/>
      <c r="AI47" s="2660"/>
      <c r="AJ47" s="1563" t="s">
        <v>573</v>
      </c>
      <c r="AK47" s="1563" t="s">
        <v>574</v>
      </c>
      <c r="AL47" s="2660"/>
      <c r="AM47" s="2664"/>
      <c r="AN47" s="2665"/>
      <c r="AO47" s="2620"/>
      <c r="AP47" s="2623"/>
      <c r="AQ47" s="2468"/>
      <c r="AW47" s="1496">
        <v>62</v>
      </c>
    </row>
    <row s="22350"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145</v>
      </c>
      <c r="V48" s="1596" t="s">
        <v>103</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212</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164</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212</v>
      </c>
      <c r="B50" s="1608" t="s">
        <v>213</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511</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512</v>
      </c>
      <c r="AS50" s="841"/>
      <c r="AT50" s="841" t="str">
        <f>IF(V50="","",V50)</f>
        <v>Территория действия тарифа</v>
      </c>
      <c r="AU50" s="841"/>
      <c r="AV50" s="841"/>
      <c r="AW50" s="1496">
        <v>21</v>
      </c>
    </row>
    <row customHeight="1" ht="24">
      <c r="A51" s="1608" t="s">
        <v>212</v>
      </c>
      <c r="B51" s="1608" t="s">
        <v>213</v>
      </c>
      <c r="C51" s="1608" t="s">
        <v>214</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513</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514</v>
      </c>
      <c r="AS51" s="841"/>
      <c r="AT51" s="841" t="str">
        <f>IF(V51="","",V51)</f>
        <v>Наименование системы теплоснабжения </v>
      </c>
      <c r="AU51" s="841"/>
      <c r="AV51" s="841"/>
      <c r="AW51" s="1496">
        <v>23</v>
      </c>
    </row>
    <row customHeight="1" ht="22.049999999999997">
      <c r="A52" s="1608" t="s">
        <v>212</v>
      </c>
      <c r="B52" s="1608" t="s">
        <v>213</v>
      </c>
      <c r="C52" s="1608" t="s">
        <v>214</v>
      </c>
      <c r="D52" s="1608" t="s">
        <v>215</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515</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516</v>
      </c>
      <c r="AS52" s="841"/>
      <c r="AT52" s="841" t="str">
        <f>IF(V52="","",V52)</f>
        <v>Источник тепловой энергии  </v>
      </c>
      <c r="AU52" s="841"/>
      <c r="AV52" s="841"/>
      <c r="AW52" s="1496">
        <v>21</v>
      </c>
    </row>
    <row s="21688" customFormat="1" customHeight="1" ht="0">
      <c r="A53" s="1716" t="s">
        <v>212</v>
      </c>
      <c r="B53" s="1716" t="s">
        <v>213</v>
      </c>
      <c r="C53" s="1716" t="s">
        <v>214</v>
      </c>
      <c r="D53" s="1716" t="s">
        <v>215</v>
      </c>
      <c r="E53" s="2631"/>
      <c r="F53" s="2631"/>
      <c r="G53" s="2631"/>
      <c r="H53" s="2652"/>
      <c r="I53" s="2468" t="str">
        <f>U52&amp;".1"</f>
        <v>....1</v>
      </c>
      <c r="J53" s="1716"/>
      <c r="K53" s="1716"/>
      <c r="L53" s="1716"/>
      <c r="M53" s="1722" t="s">
        <v>517</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212</v>
      </c>
      <c r="B54" s="1608" t="s">
        <v>213</v>
      </c>
      <c r="C54" s="1608" t="s">
        <v>214</v>
      </c>
      <c r="D54" s="1608" t="s">
        <v>215</v>
      </c>
      <c r="E54" s="2631"/>
      <c r="F54" s="2631"/>
      <c r="G54" s="2631"/>
      <c r="H54" s="2652"/>
      <c r="I54" s="2442"/>
      <c r="J54" s="2468" t="str">
        <f>I53&amp;".1"</f>
        <v>....1.1</v>
      </c>
      <c r="K54" s="1608"/>
      <c r="L54" s="1608"/>
      <c r="M54" s="1651" t="s">
        <v>520</v>
      </c>
      <c r="Q54" s="2598"/>
      <c r="R54" s="2598">
        <v>1</v>
      </c>
      <c r="S54" s="859"/>
      <c r="T54" s="698"/>
      <c r="U54" s="1677" t="str">
        <f>$J54</f>
        <v>....1.1</v>
      </c>
      <c r="V54" s="627" t="s">
        <v>521</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522</v>
      </c>
      <c r="AS54" s="841"/>
      <c r="AT54" s="841" t="str">
        <f>IF(V54="","",V54)</f>
        <v>Группа потребителей</v>
      </c>
      <c r="AU54" s="841"/>
      <c r="AV54" s="841"/>
      <c r="AW54" s="1496">
        <v>21</v>
      </c>
    </row>
    <row customHeight="1" ht="22.049999999999997">
      <c r="A55" s="1608" t="s">
        <v>212</v>
      </c>
      <c r="B55" s="1608" t="s">
        <v>213</v>
      </c>
      <c r="C55" s="1608" t="s">
        <v>214</v>
      </c>
      <c r="D55" s="1608" t="s">
        <v>215</v>
      </c>
      <c r="E55" s="2631"/>
      <c r="F55" s="2631"/>
      <c r="G55" s="2631"/>
      <c r="H55" s="2652"/>
      <c r="I55" s="2442"/>
      <c r="J55" s="2442"/>
      <c r="K55" s="2468" t="str">
        <f>J54&amp;".1"</f>
        <v>....1.1.1</v>
      </c>
      <c r="L55" s="480"/>
      <c r="M55" s="1651" t="s">
        <v>523</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563</v>
      </c>
      <c r="AR55" s="852">
        <f>STRCHECKDATE(X57:AP57)</f>
      </c>
      <c r="AS55" s="841"/>
      <c r="AT55" s="841" t="str">
        <f>IF(V55="","",V55)</f>
        <v/>
      </c>
      <c r="AU55" s="841"/>
      <c r="AV55" s="841"/>
      <c r="AW55" s="1496">
        <v>21</v>
      </c>
    </row>
    <row customHeight="1" ht="11.549999999999999">
      <c r="A56" s="1608" t="s">
        <v>212</v>
      </c>
      <c r="B56" s="1608" t="s">
        <v>213</v>
      </c>
      <c r="C56" s="1608" t="s">
        <v>214</v>
      </c>
      <c r="D56" s="1608" t="s">
        <v>215</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564</v>
      </c>
      <c r="AR56" s="852">
        <f>STRCHECKDATE(X58:AP58)</f>
      </c>
      <c r="AS56" s="841"/>
      <c r="AT56" s="841" t="str">
        <f>IF(V56="","",V56)</f>
        <v/>
      </c>
      <c r="AU56" s="841"/>
      <c r="AV56" s="841"/>
      <c r="AW56" s="1496">
        <v>11</v>
      </c>
    </row>
    <row customHeight="1" ht="0">
      <c r="A57" s="1608" t="s">
        <v>212</v>
      </c>
      <c r="B57" s="1608" t="s">
        <v>213</v>
      </c>
      <c r="C57" s="1608" t="s">
        <v>214</v>
      </c>
      <c r="D57" s="1608" t="s">
        <v>215</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212</v>
      </c>
      <c r="B58" s="1608" t="s">
        <v>213</v>
      </c>
      <c r="C58" s="1608" t="s">
        <v>214</v>
      </c>
      <c r="D58" s="1608" t="s">
        <v>215</v>
      </c>
      <c r="E58" s="2631"/>
      <c r="F58" s="2631"/>
      <c r="G58" s="2631"/>
      <c r="H58" s="2652"/>
      <c r="I58" s="2442"/>
      <c r="J58" s="2442"/>
      <c r="K58" s="2468"/>
      <c r="L58" s="1608"/>
      <c r="M58" s="1651"/>
      <c r="Q58" s="2598"/>
      <c r="R58" s="2598"/>
      <c r="S58" s="1672"/>
      <c r="T58" s="697"/>
      <c r="U58" s="1619"/>
      <c r="V58" s="629" t="s">
        <v>565</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212</v>
      </c>
      <c r="B59" s="1608" t="s">
        <v>213</v>
      </c>
      <c r="C59" s="1608" t="s">
        <v>214</v>
      </c>
      <c r="D59" s="1608" t="s">
        <v>215</v>
      </c>
      <c r="E59" s="2631"/>
      <c r="F59" s="2631"/>
      <c r="G59" s="2631"/>
      <c r="H59" s="2652"/>
      <c r="I59" s="2442"/>
      <c r="J59" s="2468"/>
      <c r="K59" s="1608"/>
      <c r="L59" s="1608"/>
      <c r="M59" s="1651"/>
      <c r="Q59" s="2598"/>
      <c r="R59" s="2598"/>
      <c r="S59" s="1672"/>
      <c r="T59" s="697"/>
      <c r="U59" s="1619"/>
      <c r="V59" s="628" t="s">
        <v>525</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212</v>
      </c>
      <c r="B60" s="1608" t="s">
        <v>213</v>
      </c>
      <c r="C60" s="1608" t="s">
        <v>214</v>
      </c>
      <c r="D60" s="1608" t="s">
        <v>215</v>
      </c>
      <c r="E60" s="2631"/>
      <c r="F60" s="2631"/>
      <c r="G60" s="2631"/>
      <c r="H60" s="2652"/>
      <c r="I60" s="2468"/>
      <c r="J60" s="1608"/>
      <c r="K60" s="1608"/>
      <c r="L60" s="1608"/>
      <c r="M60" s="1651"/>
      <c r="Q60" s="2598"/>
      <c r="R60" s="1672"/>
      <c r="S60" s="1672"/>
      <c r="T60" s="697"/>
      <c r="U60" s="1619"/>
      <c r="V60" s="706" t="s">
        <v>526</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212</v>
      </c>
      <c r="B61" s="1608" t="s">
        <v>213</v>
      </c>
      <c r="C61" s="1608" t="s">
        <v>214</v>
      </c>
      <c r="D61" s="1608" t="s">
        <v>215</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21688" customFormat="1" customHeight="1" ht="0">
      <c r="A62" s="1716" t="s">
        <v>212</v>
      </c>
      <c r="B62" s="1716" t="s">
        <v>213</v>
      </c>
      <c r="C62" s="1716" t="s">
        <v>214</v>
      </c>
      <c r="D62" s="1715"/>
      <c r="E62" s="2631"/>
      <c r="F62" s="2631"/>
      <c r="G62" s="2630"/>
      <c r="H62" s="1715"/>
      <c r="I62" s="1715"/>
      <c r="J62" s="1715"/>
      <c r="K62" s="1715"/>
      <c r="L62" s="1715"/>
      <c r="M62" s="1718"/>
      <c r="N62" s="1719"/>
      <c r="O62" s="1719"/>
      <c r="P62" s="692"/>
      <c r="Q62" s="1657"/>
      <c r="R62" s="1658"/>
      <c r="S62" s="1657"/>
      <c r="T62" s="1657"/>
      <c r="U62" s="1663"/>
      <c r="V62" s="1666" t="s">
        <v>528</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21688" customFormat="1" customHeight="1" ht="0">
      <c r="A63" s="1716" t="s">
        <v>212</v>
      </c>
      <c r="B63" s="1716" t="s">
        <v>213</v>
      </c>
      <c r="C63" s="1715"/>
      <c r="D63" s="1715"/>
      <c r="E63" s="2631"/>
      <c r="F63" s="2630"/>
      <c r="G63" s="1715"/>
      <c r="H63" s="1715"/>
      <c r="I63" s="1715"/>
      <c r="J63" s="1715"/>
      <c r="K63" s="1715"/>
      <c r="L63" s="1715"/>
      <c r="M63" s="1718"/>
      <c r="N63" s="1720"/>
      <c r="O63" s="1720"/>
      <c r="P63" s="692"/>
      <c r="Q63" s="1657"/>
      <c r="R63" s="1658"/>
      <c r="S63" s="1657"/>
      <c r="T63" s="1657"/>
      <c r="U63" s="1663"/>
      <c r="V63" s="1666" t="s">
        <v>280</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21688" customFormat="1" customHeight="1" ht="0">
      <c r="A64" s="1716" t="s">
        <v>212</v>
      </c>
      <c r="B64" s="1716"/>
      <c r="C64" s="1716"/>
      <c r="D64" s="1716"/>
      <c r="E64" s="2630"/>
      <c r="F64" s="1716"/>
      <c r="G64" s="1716"/>
      <c r="H64" s="1716"/>
      <c r="I64" s="1716"/>
      <c r="J64" s="1716"/>
      <c r="K64" s="1716"/>
      <c r="L64" s="1716"/>
      <c r="M64" s="1722"/>
      <c r="N64" s="1720"/>
      <c r="O64" s="1720"/>
      <c r="P64" s="692"/>
      <c r="Q64" s="721"/>
      <c r="R64" s="1685"/>
      <c r="S64" s="721"/>
      <c r="T64" s="721"/>
      <c r="U64" s="1663"/>
      <c r="V64" s="1666" t="s">
        <v>339</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21688"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340</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64518-F2FA-0EB1-44E5-4E75AE760B2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3" width="3.00390625" customWidth="1"/>
    <col min="17" max="17" style="22778" width="3.00390625" customWidth="1"/>
    <col min="18" max="18" style="22595" width="3.00390625" customWidth="1"/>
    <col min="19" max="19" style="22596" width="12.00390625" customWidth="1"/>
    <col min="20" max="20" style="21605" width="31.00390625" customWidth="1"/>
    <col min="21" max="21" style="21605" width="0.140625" customWidth="1"/>
    <col min="22" max="23" style="21605" width="21.7109375" hidden="1" customWidth="1"/>
    <col min="24" max="24" style="21605" width="11.7109375" hidden="1" customWidth="1"/>
    <col min="25" max="25" style="21605" width="3.7109375" hidden="1" customWidth="1"/>
    <col min="26" max="26" style="21605" width="11.7109375" hidden="1" customWidth="1"/>
    <col min="27" max="27" style="21605" width="8.57421875" hidden="1" customWidth="1"/>
    <col min="28" max="28" style="21605" width="5.421875" customWidth="1"/>
    <col min="29" max="30" style="21605" width="3.00390625" customWidth="1"/>
    <col min="31" max="31" style="21605" width="24.00390625" customWidth="1"/>
    <col min="32" max="32" style="21605" width="3.7109375" customWidth="1"/>
    <col min="33" max="34" style="21605" width="3.00390625" customWidth="1"/>
    <col min="35" max="35" style="21605" width="24.00390625" customWidth="1"/>
    <col min="36" max="36" style="21605" width="3.7109375" customWidth="1"/>
    <col min="37" max="38" style="21605" width="3.00390625" customWidth="1"/>
    <col min="39" max="39" style="21605" width="18.00390625" customWidth="1"/>
    <col min="40" max="41" style="21605" width="21.00390625" customWidth="1"/>
    <col min="42" max="42" style="21605" width="11.00390625" customWidth="1"/>
    <col min="43" max="43" style="21605" width="3.7109375" customWidth="1"/>
    <col min="44" max="44" style="21605" width="11.00390625" customWidth="1"/>
    <col min="45" max="45" style="21605" width="8.57421875" hidden="1" customWidth="1"/>
    <col min="46" max="46" style="21605" width="4.00390625" customWidth="1"/>
    <col min="47" max="47" style="21605" width="115.00390625" customWidth="1"/>
    <col min="48" max="52" style="21688" width="10.00390625" customWidth="1"/>
    <col min="53" max="53" style="21605"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164</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510</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511</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512</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513</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514</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515</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516</v>
      </c>
      <c r="AW5" s="841"/>
      <c r="AX5" s="841" t="str">
        <f>IF(T5="","",T5)</f>
        <v>Источник тепловой энергии  </v>
      </c>
      <c r="AY5" s="841"/>
      <c r="AZ5" s="841"/>
      <c r="BA5" s="1496">
        <v>0</v>
      </c>
    </row>
    <row s="21688" customFormat="1" customHeight="1" ht="0.75" hidden="1">
      <c r="A6" s="1684"/>
      <c r="B6" s="1684"/>
      <c r="C6" s="1684"/>
      <c r="D6" s="1684"/>
      <c r="E6" s="2600"/>
      <c r="F6" s="2600"/>
      <c r="G6" s="2600"/>
      <c r="H6" s="2600"/>
      <c r="I6" s="2597">
        <f>S5&amp;".1"</f>
      </c>
      <c r="J6" s="1684"/>
      <c r="K6" s="1684"/>
      <c r="L6" s="1687" t="s">
        <v>517</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21688"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575</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576</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577</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578</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579</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21688"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21688"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21688"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528</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21688"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280</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21688"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339</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529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22749" customFormat="1" customHeight="1" ht="14.25" hidden="1">
      <c r="M23" s="1849"/>
      <c r="N23" s="1849"/>
      <c r="O23" s="1850" t="s">
        <v>530</v>
      </c>
      <c r="P23" s="1849"/>
      <c r="Q23" s="1851"/>
      <c r="R23" s="1851"/>
      <c r="Y23" s="1848" t="s">
        <v>532</v>
      </c>
      <c r="AA23" s="1848" t="s">
        <v>533</v>
      </c>
      <c r="AB23" s="1848" t="s">
        <v>580</v>
      </c>
      <c r="AE23" s="1848" t="s">
        <v>581</v>
      </c>
      <c r="AF23" s="1848" t="s">
        <v>580</v>
      </c>
      <c r="AI23" s="1848" t="s">
        <v>582</v>
      </c>
      <c r="AJ23" s="1848" t="s">
        <v>580</v>
      </c>
      <c r="AM23" s="1848" t="s">
        <v>583</v>
      </c>
      <c r="AQ23" s="1848" t="s">
        <v>532</v>
      </c>
      <c r="AS23" s="1848" t="s">
        <v>533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КГУП "Примтеплоэнерго"</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21825"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21825"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535</v>
      </c>
      <c r="T31" s="2591"/>
      <c r="U31" s="1713"/>
      <c r="V31" s="2605" t="str">
        <f>IF(TITLE_DATE_PR_CHANGE="",IF(TITLE_DATE_PR="","",TITLE_DATE_PR),TITLE_DATE_PR_CHANGE)</f>
        <v>45408.52040509259</v>
      </c>
      <c r="W31" s="2605"/>
      <c r="X31" s="2605"/>
      <c r="Y31" s="2605"/>
      <c r="Z31" s="2605"/>
      <c r="AA31" s="667"/>
      <c r="AB31" s="2605" t="str">
        <f>IF(TITLE_DATE_PR_CHANGE="",IF(TITLE_DATE_PR="","",TITLE_DATE_PR),TITLE_DATE_PR_CHANGE)</f>
        <v>45408.52040509259</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2182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536</v>
      </c>
      <c r="T32" s="2591"/>
      <c r="U32" s="1713"/>
      <c r="V32" s="2592" t="str">
        <f>IF(TITLE_NUMBER_PR_CHANGE="",IF(TITLE_NUMBER_PR="","",TITLE_NUMBER_PR),TITLE_NUMBER_PR_CHANGE)</f>
        <v>27-2139</v>
      </c>
      <c r="W32" s="2592"/>
      <c r="X32" s="2592"/>
      <c r="Y32" s="2592"/>
      <c r="Z32" s="2592"/>
      <c r="AA32" s="667"/>
      <c r="AB32" s="2592" t="str">
        <f>IF(TITLE_NUMBER_PR_CHANGE="",IF(TITLE_NUMBER_PR="","",TITLE_NUMBER_PR),TITLE_NUMBER_PR_CHANGE)</f>
        <v>27-2139</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2182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21825" customFormat="1" customHeight="1" ht="18.75">
      <c r="A35" s="1709"/>
      <c r="B35" s="1709"/>
      <c r="C35" s="1709"/>
      <c r="D35" s="1709"/>
      <c r="E35" s="1709"/>
      <c r="F35" s="1709"/>
      <c r="G35" s="1709"/>
      <c r="H35" s="1709"/>
      <c r="I35" s="1709"/>
      <c r="J35" s="1709"/>
      <c r="K35" s="1709"/>
      <c r="L35" s="1710"/>
      <c r="M35" s="1709"/>
      <c r="N35" s="1709"/>
      <c r="O35" s="1709"/>
      <c r="P35" s="1709"/>
      <c r="Q35" s="1709"/>
      <c r="S35" s="2591" t="s">
        <v>535</v>
      </c>
      <c r="T35" s="2591"/>
      <c r="U35" s="1713"/>
      <c r="V35" s="2605" t="str">
        <f>IF(TITLE_DATE_PR_CHANGE="",IF(TITLE_DATE_PR="","",TITLE_DATE_PR),TITLE_DATE_PR_CHANGE)</f>
        <v>45408.52040509259</v>
      </c>
      <c r="W35" s="2605"/>
      <c r="X35" s="2605"/>
      <c r="Y35" s="2605"/>
      <c r="Z35" s="2605"/>
      <c r="AA35" s="667"/>
      <c r="AB35" s="2605" t="str">
        <f>IF(TITLE_DATE_PR_CHANGE="",IF(TITLE_DATE_PR="","",TITLE_DATE_PR),TITLE_DATE_PR_CHANGE)</f>
        <v>45408.52040509259</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21825" customFormat="1" customHeight="1" ht="18">
      <c r="A36" s="1709"/>
      <c r="B36" s="1709"/>
      <c r="C36" s="1709"/>
      <c r="D36" s="1709"/>
      <c r="E36" s="1709"/>
      <c r="F36" s="1709"/>
      <c r="G36" s="1709"/>
      <c r="H36" s="1709"/>
      <c r="I36" s="1709"/>
      <c r="J36" s="1709"/>
      <c r="K36" s="1709"/>
      <c r="L36" s="1710"/>
      <c r="M36" s="1709"/>
      <c r="N36" s="1709"/>
      <c r="O36" s="1709"/>
      <c r="P36" s="1709"/>
      <c r="Q36" s="1709"/>
      <c r="S36" s="2591" t="s">
        <v>536</v>
      </c>
      <c r="T36" s="2591"/>
      <c r="U36" s="1713"/>
      <c r="V36" s="2592" t="str">
        <f>IF(TITLE_NUMBER_PR_CHANGE="",IF(TITLE_NUMBER_PR="","",TITLE_NUMBER_PR),TITLE_NUMBER_PR_CHANGE)</f>
        <v>27-2139</v>
      </c>
      <c r="W36" s="2592"/>
      <c r="X36" s="2592"/>
      <c r="Y36" s="2592"/>
      <c r="Z36" s="2592"/>
      <c r="AA36" s="667"/>
      <c r="AB36" s="2592" t="str">
        <f>IF(TITLE_NUMBER_PR_CHANGE="",IF(TITLE_NUMBER_PR="","",TITLE_NUMBER_PR),TITLE_NUMBER_PR_CHANGE)</f>
        <v>27-2139</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21825"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539</v>
      </c>
      <c r="AB37" s="667"/>
      <c r="AC37" s="667"/>
      <c r="AD37" s="667"/>
      <c r="AE37" s="667"/>
      <c r="AF37" s="667"/>
      <c r="AG37" s="667"/>
      <c r="AH37" s="667"/>
      <c r="AI37" s="667"/>
      <c r="AJ37" s="667"/>
      <c r="AK37" s="667"/>
      <c r="AL37" s="667"/>
      <c r="AM37" s="667"/>
      <c r="AN37" s="667"/>
      <c r="AO37" s="667"/>
      <c r="AP37" s="667"/>
      <c r="AQ37" s="667"/>
      <c r="AR37" s="667"/>
      <c r="AS37" s="619" t="s">
        <v>539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414</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415</v>
      </c>
      <c r="BA39" s="1496">
        <v>14</v>
      </c>
    </row>
    <row customHeight="1" ht="14.699999999999998">
      <c r="Q40" s="632"/>
      <c r="R40" s="717"/>
      <c r="S40" s="2614" t="s">
        <v>88</v>
      </c>
      <c r="T40" s="2550" t="s">
        <v>584</v>
      </c>
      <c r="U40" s="642"/>
      <c r="V40" s="2616"/>
      <c r="W40" s="2616"/>
      <c r="X40" s="2616"/>
      <c r="Y40" s="2616"/>
      <c r="Z40" s="2617"/>
      <c r="AA40" s="2677" t="s">
        <v>542</v>
      </c>
      <c r="AB40" s="2669" t="s">
        <v>585</v>
      </c>
      <c r="AC40" s="2632"/>
      <c r="AD40" s="2632"/>
      <c r="AE40" s="2670"/>
      <c r="AF40" s="2632" t="s">
        <v>586</v>
      </c>
      <c r="AG40" s="2632"/>
      <c r="AH40" s="2632"/>
      <c r="AI40" s="2670"/>
      <c r="AJ40" s="2669" t="s">
        <v>587</v>
      </c>
      <c r="AK40" s="2632"/>
      <c r="AL40" s="2632"/>
      <c r="AM40" s="2670"/>
      <c r="AN40" s="2669" t="s">
        <v>541</v>
      </c>
      <c r="AO40" s="2632"/>
      <c r="AP40" s="2616"/>
      <c r="AQ40" s="2616"/>
      <c r="AR40" s="2617"/>
      <c r="AS40" s="2618" t="s">
        <v>542</v>
      </c>
      <c r="AT40" s="2621" t="s">
        <v>544</v>
      </c>
      <c r="AU40" s="2468"/>
      <c r="BA40" s="1496">
        <v>14</v>
      </c>
    </row>
    <row customHeight="1" ht="35.699999999999996">
      <c r="Q41" s="632"/>
      <c r="R41" s="717"/>
      <c r="S41" s="2614"/>
      <c r="T41" s="2550"/>
      <c r="U41" s="1372"/>
      <c r="V41" s="2468" t="s">
        <v>588</v>
      </c>
      <c r="W41" s="2468"/>
      <c r="X41" s="2635" t="s">
        <v>548</v>
      </c>
      <c r="Y41" s="2654"/>
      <c r="Z41" s="2655"/>
      <c r="AA41" s="2678"/>
      <c r="AB41" s="2671"/>
      <c r="AC41" s="2672"/>
      <c r="AD41" s="2672"/>
      <c r="AE41" s="2673"/>
      <c r="AF41" s="2672"/>
      <c r="AG41" s="2672"/>
      <c r="AH41" s="2672"/>
      <c r="AI41" s="2673"/>
      <c r="AJ41" s="2671"/>
      <c r="AK41" s="2672"/>
      <c r="AL41" s="2672"/>
      <c r="AM41" s="2672"/>
      <c r="AN41" s="2468" t="s">
        <v>588</v>
      </c>
      <c r="AO41" s="2468"/>
      <c r="AP41" s="2654" t="s">
        <v>548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176</v>
      </c>
      <c r="C43" s="1711" t="s">
        <v>177</v>
      </c>
      <c r="D43" s="1711" t="s">
        <v>178</v>
      </c>
      <c r="E43" s="1705" t="s">
        <v>549</v>
      </c>
      <c r="F43" s="1705" t="s">
        <v>550</v>
      </c>
      <c r="G43" s="1705" t="s">
        <v>551</v>
      </c>
      <c r="H43" s="1705" t="s">
        <v>552</v>
      </c>
      <c r="I43" s="1705" t="s">
        <v>553</v>
      </c>
      <c r="J43" s="1705" t="s">
        <v>554</v>
      </c>
      <c r="K43" s="1705" t="s">
        <v>555</v>
      </c>
      <c r="L43" s="1705" t="s">
        <v>530</v>
      </c>
      <c r="Q43" s="632"/>
      <c r="R43" s="717"/>
      <c r="S43" s="2614"/>
      <c r="T43" s="2550"/>
      <c r="U43" s="643"/>
      <c r="V43" s="1671" t="s">
        <v>589</v>
      </c>
      <c r="W43" s="1671" t="s">
        <v>590</v>
      </c>
      <c r="X43" s="1679" t="s">
        <v>558</v>
      </c>
      <c r="Y43" s="2611" t="s">
        <v>559</v>
      </c>
      <c r="Z43" s="2612"/>
      <c r="AA43" s="2679"/>
      <c r="AB43" s="2674"/>
      <c r="AC43" s="2675"/>
      <c r="AD43" s="2675"/>
      <c r="AE43" s="2676"/>
      <c r="AF43" s="2675"/>
      <c r="AG43" s="2675"/>
      <c r="AH43" s="2675"/>
      <c r="AI43" s="2676"/>
      <c r="AJ43" s="2674"/>
      <c r="AK43" s="2675"/>
      <c r="AL43" s="2675"/>
      <c r="AM43" s="2676"/>
      <c r="AN43" s="2201" t="s">
        <v>589</v>
      </c>
      <c r="AO43" s="2201" t="s">
        <v>590</v>
      </c>
      <c r="AP43" s="1679" t="s">
        <v>558</v>
      </c>
      <c r="AQ43" s="2611" t="s">
        <v>559</v>
      </c>
      <c r="AR43" s="2612"/>
      <c r="AS43" s="2620"/>
      <c r="AT43" s="2623"/>
      <c r="AU43" s="2468"/>
      <c r="BA43" s="1496">
        <v>14</v>
      </c>
    </row>
    <row s="22350"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145</v>
      </c>
      <c r="T44" s="1596" t="s">
        <v>103</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236</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164</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236</v>
      </c>
      <c r="B46" s="1704" t="s">
        <v>237</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511</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512</v>
      </c>
      <c r="AW46" s="841"/>
      <c r="AX46" s="841" t="str">
        <f>IF(T46="","",T46)</f>
        <v>Территория действия тарифа</v>
      </c>
      <c r="AY46" s="841"/>
      <c r="AZ46" s="841"/>
      <c r="BA46" s="1496">
        <v>21</v>
      </c>
    </row>
    <row customHeight="1" ht="24">
      <c r="A47" s="1704" t="s">
        <v>236</v>
      </c>
      <c r="B47" s="1704" t="s">
        <v>237</v>
      </c>
      <c r="C47" s="1704" t="s">
        <v>238</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513</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514</v>
      </c>
      <c r="AW47" s="841"/>
      <c r="AX47" s="841" t="str">
        <f>IF(T47="","",T47)</f>
        <v>Наименование системы теплоснабжения </v>
      </c>
      <c r="AY47" s="841"/>
      <c r="AZ47" s="841"/>
      <c r="BA47" s="1496">
        <v>23</v>
      </c>
    </row>
    <row customHeight="1" ht="21">
      <c r="A48" s="1704" t="s">
        <v>236</v>
      </c>
      <c r="B48" s="1704" t="s">
        <v>237</v>
      </c>
      <c r="C48" s="1704" t="s">
        <v>238</v>
      </c>
      <c r="D48" s="1704" t="s">
        <v>239</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515</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516</v>
      </c>
      <c r="AW48" s="841"/>
      <c r="AX48" s="841" t="str">
        <f>IF(T48="","",T48)</f>
        <v>Источник тепловой энергии  </v>
      </c>
      <c r="AY48" s="841"/>
      <c r="AZ48" s="841"/>
      <c r="BA48" s="1496">
        <v>20</v>
      </c>
    </row>
    <row s="21688" customFormat="1" customHeight="1" ht="1.05">
      <c r="A49" s="1684" t="s">
        <v>236</v>
      </c>
      <c r="B49" s="1684" t="s">
        <v>237</v>
      </c>
      <c r="C49" s="1684" t="s">
        <v>238</v>
      </c>
      <c r="D49" s="1684" t="s">
        <v>239</v>
      </c>
      <c r="E49" s="2600"/>
      <c r="F49" s="2600"/>
      <c r="G49" s="2600"/>
      <c r="H49" s="2600"/>
      <c r="I49" s="2597" t="str">
        <f>S48&amp;".1"</f>
        <v>....1</v>
      </c>
      <c r="J49" s="1684"/>
      <c r="K49" s="1684"/>
      <c r="L49" s="1687" t="s">
        <v>517</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21688" customFormat="1" customHeight="1" ht="1.05">
      <c r="A50" s="1684" t="s">
        <v>236</v>
      </c>
      <c r="B50" s="1684" t="s">
        <v>237</v>
      </c>
      <c r="C50" s="1684" t="s">
        <v>238</v>
      </c>
      <c r="D50" s="1684" t="s">
        <v>239</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236</v>
      </c>
      <c r="B51" s="1704" t="s">
        <v>237</v>
      </c>
      <c r="C51" s="1704" t="s">
        <v>238</v>
      </c>
      <c r="D51" s="1704" t="s">
        <v>239</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66</v>
      </c>
      <c r="Z51" s="2075"/>
      <c r="AA51" s="1800" t="s">
        <v>66</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66</v>
      </c>
      <c r="AR51" s="2075"/>
      <c r="AS51" s="1800" t="s">
        <v>66</v>
      </c>
      <c r="AT51" s="1689"/>
      <c r="AU51" s="2594" t="s">
        <v>591</v>
      </c>
      <c r="AV51" s="852">
        <f>STRCHECKDATE(V54:AT54)</f>
      </c>
      <c r="AW51" s="841"/>
      <c r="AX51" s="841" t="str">
        <f>IF(T51="","",T51)</f>
        <v/>
      </c>
      <c r="AY51" s="841"/>
      <c r="AZ51" s="841"/>
      <c r="BA51" s="1496">
        <v>21</v>
      </c>
    </row>
    <row customHeight="1" ht="11.549999999999999">
      <c r="A52" s="1704" t="s">
        <v>236</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576</v>
      </c>
      <c r="AN52" s="1734"/>
      <c r="AO52" s="1837"/>
      <c r="AP52" s="1734"/>
      <c r="AQ52" s="1734"/>
      <c r="AR52" s="1734"/>
      <c r="AS52" s="1734"/>
      <c r="AT52" s="1731"/>
      <c r="AU52" s="2595"/>
      <c r="AW52" s="841"/>
      <c r="AX52" s="841"/>
      <c r="AY52" s="841"/>
      <c r="AZ52" s="841"/>
      <c r="BA52" s="1496">
        <v>11</v>
      </c>
    </row>
    <row customHeight="1" ht="11.549999999999999">
      <c r="A53" s="1704" t="s">
        <v>236</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577</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236</v>
      </c>
      <c r="B54" s="1704" t="s">
        <v>237</v>
      </c>
      <c r="C54" s="1704" t="s">
        <v>238</v>
      </c>
      <c r="D54" s="1704" t="s">
        <v>239</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578</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236</v>
      </c>
      <c r="B55" s="1704" t="s">
        <v>237</v>
      </c>
      <c r="C55" s="1704" t="s">
        <v>238</v>
      </c>
      <c r="D55" s="1704" t="s">
        <v>239</v>
      </c>
      <c r="E55" s="2600"/>
      <c r="F55" s="2600"/>
      <c r="G55" s="2600"/>
      <c r="H55" s="2600"/>
      <c r="I55" s="2627"/>
      <c r="J55" s="2597"/>
      <c r="K55" s="1704"/>
      <c r="L55" s="1705"/>
      <c r="P55" s="2598"/>
      <c r="Q55" s="2598"/>
      <c r="R55" s="697"/>
      <c r="S55" s="1619"/>
      <c r="T55" s="628" t="s">
        <v>579</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21688" customFormat="1" customHeight="1" ht="1.05">
      <c r="A56" s="1684" t="s">
        <v>236</v>
      </c>
      <c r="B56" s="1684" t="s">
        <v>237</v>
      </c>
      <c r="C56" s="1684" t="s">
        <v>238</v>
      </c>
      <c r="D56" s="1684" t="s">
        <v>239</v>
      </c>
      <c r="E56" s="2600"/>
      <c r="F56" s="2600"/>
      <c r="G56" s="2600"/>
      <c r="H56" s="2600"/>
      <c r="I56" s="2597"/>
      <c r="J56" s="1684"/>
      <c r="K56" s="1684"/>
      <c r="L56" s="1687"/>
      <c r="M56" s="851"/>
      <c r="N56" s="851"/>
      <c r="O56" s="851"/>
      <c r="P56" s="2598"/>
      <c r="Q56" s="1672"/>
      <c r="R56" s="697"/>
      <c r="S56" s="1727"/>
      <c r="T56" s="1728" t="s">
        <v>526</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22350" customFormat="1" customHeight="1" ht="1.05">
      <c r="A57" s="1684" t="s">
        <v>236</v>
      </c>
      <c r="B57" s="1684" t="s">
        <v>237</v>
      </c>
      <c r="C57" s="1684" t="s">
        <v>238</v>
      </c>
      <c r="D57" s="1684" t="s">
        <v>239</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21688" customFormat="1" customHeight="1" ht="1.05">
      <c r="A58" s="1684" t="s">
        <v>236</v>
      </c>
      <c r="B58" s="1684" t="s">
        <v>237</v>
      </c>
      <c r="C58" s="1684" t="s">
        <v>238</v>
      </c>
      <c r="D58" s="1655"/>
      <c r="E58" s="2600"/>
      <c r="F58" s="2600"/>
      <c r="G58" s="2599"/>
      <c r="H58" s="1655"/>
      <c r="I58" s="1655"/>
      <c r="J58" s="1655"/>
      <c r="K58" s="1655"/>
      <c r="L58" s="1680"/>
      <c r="M58" s="1656"/>
      <c r="N58" s="1656"/>
      <c r="P58" s="1657"/>
      <c r="Q58" s="1658"/>
      <c r="R58" s="1657"/>
      <c r="S58" s="1663"/>
      <c r="T58" s="1666" t="s">
        <v>528</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21688" customFormat="1" customHeight="1" ht="1.05">
      <c r="A59" s="1684" t="s">
        <v>236</v>
      </c>
      <c r="B59" s="1684" t="s">
        <v>237</v>
      </c>
      <c r="C59" s="1655"/>
      <c r="D59" s="1655"/>
      <c r="E59" s="2600"/>
      <c r="F59" s="2599"/>
      <c r="G59" s="1655"/>
      <c r="H59" s="1655"/>
      <c r="I59" s="1655"/>
      <c r="J59" s="1655"/>
      <c r="K59" s="1655"/>
      <c r="L59" s="1680"/>
      <c r="M59" s="1662"/>
      <c r="N59" s="1662"/>
      <c r="P59" s="1657"/>
      <c r="Q59" s="1658"/>
      <c r="R59" s="1657"/>
      <c r="S59" s="1663"/>
      <c r="T59" s="1666" t="s">
        <v>280</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21688" customFormat="1" customHeight="1" ht="1.05">
      <c r="A60" s="1684" t="s">
        <v>236</v>
      </c>
      <c r="B60" s="1684"/>
      <c r="C60" s="1684"/>
      <c r="D60" s="1684"/>
      <c r="E60" s="2600"/>
      <c r="F60" s="1684"/>
      <c r="G60" s="1684"/>
      <c r="H60" s="1684"/>
      <c r="I60" s="1684"/>
      <c r="J60" s="1684"/>
      <c r="K60" s="1684"/>
      <c r="L60" s="1687"/>
      <c r="M60" s="1662"/>
      <c r="N60" s="1662"/>
      <c r="O60" s="859"/>
      <c r="P60" s="721"/>
      <c r="Q60" s="1685"/>
      <c r="R60" s="721"/>
      <c r="S60" s="1663"/>
      <c r="T60" s="1666" t="s">
        <v>339</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21688" customFormat="1" customHeight="1" ht="1.05">
      <c r="A61" s="1684" t="s">
        <v>236</v>
      </c>
      <c r="B61" s="1684"/>
      <c r="C61" s="1684"/>
      <c r="D61" s="1684"/>
      <c r="E61" s="2599"/>
      <c r="F61" s="1684"/>
      <c r="G61" s="1684"/>
      <c r="H61" s="1684"/>
      <c r="I61" s="1684"/>
      <c r="J61" s="1684"/>
      <c r="K61" s="1684"/>
      <c r="L61" s="1687"/>
      <c r="M61" s="1662"/>
      <c r="N61" s="1662"/>
      <c r="O61" s="859"/>
      <c r="P61" s="721"/>
      <c r="Q61" s="1685"/>
      <c r="R61" s="721"/>
      <c r="S61" s="1663"/>
      <c r="T61" s="1666" t="s">
        <v>339</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21688"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340</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D622E-4AFB-DEAA-2293-20DEBF33C16B}" mc:Ignorable="x14ac xr xr2 xr3">
  <sheetPr>
    <tabColor theme="6" tint="0.4"/>
  </sheetPr>
  <dimension ref="A1:BS238"/>
  <sheetViews>
    <sheetView topLeftCell="A1" showGridLines="0" zoomScale="90" workbookViewId="0">
      <selection activeCell="BD226" sqref="BD226:BD227"/>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31" style="21605" width="24.00390625" customWidth="1"/>
    <col min="32" max="32" style="21605" width="11.00390625" customWidth="1"/>
    <col min="33" max="33" style="21605" width="3.7109375" customWidth="1"/>
    <col min="34" max="34" style="21605" width="11.00390625" customWidth="1"/>
    <col min="35" max="35" style="21605" width="8.57421875" customWidth="1"/>
    <col min="42" max="42" style="26162" width="10.57421875"/>
    <col min="57" max="57" style="62" width="22.8515625" customWidth="1"/>
    <col min="58" max="58" style="62" width="19.140625" customWidth="1"/>
    <col min="59" max="59" style="62" width="35.7109375" customWidth="1"/>
    <col min="60" max="60" style="62" width="16.00390625" customWidth="1"/>
    <col min="61" max="61" style="62" width="15.8515625" customWidth="1"/>
    <col min="62" max="62" style="62" width="7.7109375" customWidth="1"/>
    <col min="63" max="63" style="26163" width="10.57421875" hidden="1"/>
    <col min="64" max="64" style="21605" width="4.00390625" customWidth="1"/>
    <col min="65" max="65" style="21605" width="115.00390625" customWidth="1"/>
    <col min="66" max="70" style="21688" width="10.00390625" customWidth="1"/>
    <col min="71" max="71" style="21605" width="10.57421875" hidden="1"/>
  </cols>
  <sheetData>
    <row customHeight="1" ht="22.5" hidden="1">
      <c r="X1" s="668"/>
      <c r="Y1" s="668"/>
      <c r="AE1" s="668"/>
      <c r="AF1" s="668"/>
      <c r="AJ1" s="4130"/>
      <c r="AK1" s="4130"/>
      <c r="AL1" s="4130"/>
      <c r="AM1" s="4130"/>
      <c r="AN1" s="4130"/>
      <c r="AO1" s="4130"/>
      <c r="AP1" s="4130"/>
      <c r="AQ1" s="6995"/>
      <c r="AR1" s="6995"/>
      <c r="AS1" s="6995"/>
      <c r="AT1" s="6995"/>
      <c r="AU1" s="6995"/>
      <c r="AV1" s="6995"/>
      <c r="AW1" s="6995"/>
      <c r="AX1" s="6995"/>
      <c r="AY1" s="6995"/>
      <c r="AZ1" s="6995"/>
      <c r="BA1" s="6995"/>
      <c r="BB1" s="6995"/>
      <c r="BC1" s="6995"/>
      <c r="BD1" s="6995"/>
      <c r="BE1" s="6995"/>
      <c r="BF1" s="6995"/>
      <c r="BG1" s="6995"/>
      <c r="BH1" s="6995"/>
      <c r="BI1" s="6995"/>
      <c r="BJ1" s="6995"/>
      <c r="BK1" s="6995"/>
      <c r="BS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4132"/>
      <c r="AK2" s="4133"/>
      <c r="AL2" s="4133"/>
      <c r="AM2" s="4133"/>
      <c r="AN2" s="4133"/>
      <c r="AO2" s="4133"/>
      <c r="AP2" s="4134"/>
      <c r="AQ2" s="7000"/>
      <c r="AR2" s="7001"/>
      <c r="AS2" s="7001"/>
      <c r="AT2" s="7001"/>
      <c r="AU2" s="7001"/>
      <c r="AV2" s="7001"/>
      <c r="AW2" s="7002"/>
      <c r="AX2" s="7000"/>
      <c r="AY2" s="7001"/>
      <c r="AZ2" s="7001"/>
      <c r="BA2" s="7001"/>
      <c r="BB2" s="7001"/>
      <c r="BC2" s="7001"/>
      <c r="BD2" s="7002"/>
      <c r="BE2" s="7000"/>
      <c r="BF2" s="7001"/>
      <c r="BG2" s="7001"/>
      <c r="BH2" s="7001"/>
      <c r="BI2" s="7001"/>
      <c r="BJ2" s="7001"/>
      <c r="BK2" s="7002"/>
      <c r="BL2" s="2585"/>
      <c r="BM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841"/>
      <c r="BP2" s="841" t="str">
        <f>IF(T2="","",T2)</f>
        <v>Наименование тарифа</v>
      </c>
      <c r="BQ2" s="841"/>
      <c r="BR2" s="841"/>
      <c r="BS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4132"/>
      <c r="AK3" s="4133"/>
      <c r="AL3" s="4133"/>
      <c r="AM3" s="4133"/>
      <c r="AN3" s="4133"/>
      <c r="AO3" s="4133"/>
      <c r="AP3" s="4134"/>
      <c r="AQ3" s="7000"/>
      <c r="AR3" s="7001"/>
      <c r="AS3" s="7001"/>
      <c r="AT3" s="7001"/>
      <c r="AU3" s="7001"/>
      <c r="AV3" s="7001"/>
      <c r="AW3" s="7002"/>
      <c r="AX3" s="7000"/>
      <c r="AY3" s="7001"/>
      <c r="AZ3" s="7001"/>
      <c r="BA3" s="7001"/>
      <c r="BB3" s="7001"/>
      <c r="BC3" s="7001"/>
      <c r="BD3" s="7002"/>
      <c r="BE3" s="7000"/>
      <c r="BF3" s="7001"/>
      <c r="BG3" s="7001"/>
      <c r="BH3" s="7001"/>
      <c r="BI3" s="7001"/>
      <c r="BJ3" s="7001"/>
      <c r="BK3" s="7002"/>
      <c r="BL3" s="2585"/>
      <c r="BM3" s="1599" t="s">
        <v>512</v>
      </c>
      <c r="BO3" s="841"/>
      <c r="BP3" s="841" t="str">
        <f>IF(T3="","",T3)</f>
        <v>Территория действия тарифа</v>
      </c>
      <c r="BQ3" s="841"/>
      <c r="BR3" s="841"/>
      <c r="BS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592</v>
      </c>
      <c r="U4" s="641"/>
      <c r="V4" s="2583"/>
      <c r="W4" s="2584"/>
      <c r="X4" s="2584"/>
      <c r="Y4" s="2584"/>
      <c r="Z4" s="2584"/>
      <c r="AA4" s="2584"/>
      <c r="AB4" s="2585"/>
      <c r="AC4" s="2583">
        <f>INDEX(PT_DIFFERENTIATION_CS,MATCH(C4,PT_DIFFERENTIATION_CS_ID,0))</f>
      </c>
      <c r="AD4" s="2584"/>
      <c r="AE4" s="2584"/>
      <c r="AF4" s="2584"/>
      <c r="AG4" s="2584"/>
      <c r="AH4" s="2584"/>
      <c r="AI4" s="2584"/>
      <c r="AJ4" s="4132"/>
      <c r="AK4" s="4133"/>
      <c r="AL4" s="4133"/>
      <c r="AM4" s="4133"/>
      <c r="AN4" s="4133"/>
      <c r="AO4" s="4133"/>
      <c r="AP4" s="4134"/>
      <c r="AQ4" s="7000"/>
      <c r="AR4" s="7001"/>
      <c r="AS4" s="7001"/>
      <c r="AT4" s="7001"/>
      <c r="AU4" s="7001"/>
      <c r="AV4" s="7001"/>
      <c r="AW4" s="7002"/>
      <c r="AX4" s="7000"/>
      <c r="AY4" s="7001"/>
      <c r="AZ4" s="7001"/>
      <c r="BA4" s="7001"/>
      <c r="BB4" s="7001"/>
      <c r="BC4" s="7001"/>
      <c r="BD4" s="7002"/>
      <c r="BE4" s="7000"/>
      <c r="BF4" s="7001"/>
      <c r="BG4" s="7001"/>
      <c r="BH4" s="7001"/>
      <c r="BI4" s="7001"/>
      <c r="BJ4" s="7001"/>
      <c r="BK4" s="7002"/>
      <c r="BL4" s="2585"/>
      <c r="BM4" s="1599" t="s">
        <v>593</v>
      </c>
      <c r="BO4" s="841"/>
      <c r="BP4" s="841" t="str">
        <f>IF(T4="","",T4)</f>
        <v>Наименование централизованной системы холодного водоснабжения</v>
      </c>
      <c r="BQ4" s="841"/>
      <c r="BR4" s="841"/>
      <c r="BS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594</v>
      </c>
      <c r="U5" s="641"/>
      <c r="V5" s="2691"/>
      <c r="W5" s="2692"/>
      <c r="X5" s="2692"/>
      <c r="Y5" s="2692"/>
      <c r="Z5" s="2692"/>
      <c r="AA5" s="2692"/>
      <c r="AB5" s="2693"/>
      <c r="AC5" s="2694"/>
      <c r="AD5" s="2695"/>
      <c r="AE5" s="2695"/>
      <c r="AF5" s="2695"/>
      <c r="AG5" s="2695"/>
      <c r="AH5" s="2695"/>
      <c r="AI5" s="2695"/>
      <c r="AJ5" s="4142"/>
      <c r="AK5" s="4143"/>
      <c r="AL5" s="4143"/>
      <c r="AM5" s="4143"/>
      <c r="AN5" s="4143"/>
      <c r="AO5" s="4143"/>
      <c r="AP5" s="4144"/>
      <c r="AQ5" s="7013"/>
      <c r="AR5" s="7014"/>
      <c r="AS5" s="7014"/>
      <c r="AT5" s="7014"/>
      <c r="AU5" s="7014"/>
      <c r="AV5" s="7014"/>
      <c r="AW5" s="7015"/>
      <c r="AX5" s="7013"/>
      <c r="AY5" s="7014"/>
      <c r="AZ5" s="7014"/>
      <c r="BA5" s="7014"/>
      <c r="BB5" s="7014"/>
      <c r="BC5" s="7014"/>
      <c r="BD5" s="7015"/>
      <c r="BE5" s="7013"/>
      <c r="BF5" s="7014"/>
      <c r="BG5" s="7014"/>
      <c r="BH5" s="7014"/>
      <c r="BI5" s="7014"/>
      <c r="BJ5" s="7014"/>
      <c r="BK5" s="7015"/>
      <c r="BL5" s="2696"/>
      <c r="BM5" s="1599" t="s">
        <v>595</v>
      </c>
      <c r="BO5" s="841"/>
      <c r="BP5" s="841" t="str">
        <f>IF(T5="","",T5)</f>
        <v>Наименование признака дифференциации</v>
      </c>
      <c r="BQ5" s="841"/>
      <c r="BR5" s="841"/>
      <c r="BS5" s="1496">
        <v>0</v>
      </c>
    </row>
    <row customHeight="1" ht="23.25" hidden="1">
      <c r="A6" s="1704"/>
      <c r="B6" s="1704"/>
      <c r="C6" s="1704"/>
      <c r="D6" s="1704"/>
      <c r="E6" s="2600"/>
      <c r="F6" s="2600"/>
      <c r="G6" s="2600"/>
      <c r="H6" s="2600"/>
      <c r="I6" s="2627"/>
      <c r="J6" s="2597">
        <f>I5&amp;".1"</f>
      </c>
      <c r="K6" s="1704"/>
      <c r="L6" s="1705" t="s">
        <v>520</v>
      </c>
      <c r="P6" s="2598"/>
      <c r="Q6" s="2598">
        <v>1</v>
      </c>
      <c r="R6" s="698"/>
      <c r="S6" s="1766">
        <f>$J6</f>
      </c>
      <c r="T6" s="627" t="s">
        <v>521</v>
      </c>
      <c r="U6" s="641"/>
      <c r="V6" s="2586"/>
      <c r="W6" s="2587"/>
      <c r="X6" s="2587"/>
      <c r="Y6" s="2587"/>
      <c r="Z6" s="2587"/>
      <c r="AA6" s="2587"/>
      <c r="AB6" s="2588"/>
      <c r="AC6" s="2586"/>
      <c r="AD6" s="2587"/>
      <c r="AE6" s="2587"/>
      <c r="AF6" s="2587"/>
      <c r="AG6" s="2587"/>
      <c r="AH6" s="2587"/>
      <c r="AI6" s="2587"/>
      <c r="AJ6" s="4146"/>
      <c r="AK6" s="4147"/>
      <c r="AL6" s="4147"/>
      <c r="AM6" s="4147"/>
      <c r="AN6" s="4147"/>
      <c r="AO6" s="4147"/>
      <c r="AP6" s="4148"/>
      <c r="AQ6" s="7020"/>
      <c r="AR6" s="7021"/>
      <c r="AS6" s="7021"/>
      <c r="AT6" s="7021"/>
      <c r="AU6" s="7021"/>
      <c r="AV6" s="7021"/>
      <c r="AW6" s="7022"/>
      <c r="AX6" s="7020"/>
      <c r="AY6" s="7021"/>
      <c r="AZ6" s="7021"/>
      <c r="BA6" s="7021"/>
      <c r="BB6" s="7021"/>
      <c r="BC6" s="7021"/>
      <c r="BD6" s="7022"/>
      <c r="BE6" s="7020"/>
      <c r="BF6" s="7021"/>
      <c r="BG6" s="7021"/>
      <c r="BH6" s="7021"/>
      <c r="BI6" s="7021"/>
      <c r="BJ6" s="7021"/>
      <c r="BK6" s="7022"/>
      <c r="BL6" s="2588"/>
      <c r="BM6" s="1648" t="s">
        <v>596</v>
      </c>
      <c r="BO6" s="841"/>
      <c r="BP6" s="841" t="str">
        <f>IF(T6="","",T6)</f>
        <v>Группа потребителей</v>
      </c>
      <c r="BQ6" s="841"/>
      <c r="BR6" s="841"/>
      <c r="BS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4150"/>
      <c r="AK7" s="4150"/>
      <c r="AL7" s="4151"/>
      <c r="AM7" s="4152"/>
      <c r="AN7" s="4153" t="s">
        <v>66</v>
      </c>
      <c r="AO7" s="4152"/>
      <c r="AP7" s="4153" t="s">
        <v>66</v>
      </c>
      <c r="AQ7" s="7028"/>
      <c r="AR7" s="7028"/>
      <c r="AS7" s="7029"/>
      <c r="AT7" s="7030"/>
      <c r="AU7" s="7031" t="s">
        <v>66</v>
      </c>
      <c r="AV7" s="7030"/>
      <c r="AW7" s="7031" t="s">
        <v>66</v>
      </c>
      <c r="AX7" s="7028"/>
      <c r="AY7" s="7028"/>
      <c r="AZ7" s="7029"/>
      <c r="BA7" s="7030"/>
      <c r="BB7" s="7031" t="s">
        <v>66</v>
      </c>
      <c r="BC7" s="7030"/>
      <c r="BD7" s="7031" t="s">
        <v>66</v>
      </c>
      <c r="BE7" s="7028"/>
      <c r="BF7" s="7028"/>
      <c r="BG7" s="7029"/>
      <c r="BH7" s="7030"/>
      <c r="BI7" s="7031" t="s">
        <v>66</v>
      </c>
      <c r="BJ7" s="7030"/>
      <c r="BK7" s="7031" t="s">
        <v>66</v>
      </c>
      <c r="BL7" s="1779"/>
      <c r="BM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852">
        <f>STRCHECKDATE(V8:BL8)</f>
      </c>
      <c r="BO7" s="841"/>
      <c r="BP7" s="841" t="str">
        <f>IF(T7="","",T7)</f>
        <v/>
      </c>
      <c r="BQ7" s="841"/>
      <c r="BR7" s="841"/>
      <c r="BS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4157"/>
      <c r="AK8" s="4157"/>
      <c r="AL8" s="4158" t="str">
        <f>AM7&amp;"-"&amp;AO7</f>
        <v>-</v>
      </c>
      <c r="AM8" s="4159"/>
      <c r="AN8" s="4153"/>
      <c r="AO8" s="4159"/>
      <c r="AP8" s="4153"/>
      <c r="AQ8" s="7038"/>
      <c r="AR8" s="7038"/>
      <c r="AS8" s="7039" t="str">
        <f>AT7&amp;"-"&amp;AV7</f>
        <v>-</v>
      </c>
      <c r="AT8" s="7040"/>
      <c r="AU8" s="7031"/>
      <c r="AV8" s="7040"/>
      <c r="AW8" s="7031"/>
      <c r="AX8" s="7038"/>
      <c r="AY8" s="7038"/>
      <c r="AZ8" s="7039" t="str">
        <f>BA7&amp;"-"&amp;BC7</f>
        <v>-</v>
      </c>
      <c r="BA8" s="7040"/>
      <c r="BB8" s="7031"/>
      <c r="BC8" s="7040"/>
      <c r="BD8" s="7031"/>
      <c r="BE8" s="7038"/>
      <c r="BF8" s="7038"/>
      <c r="BG8" s="7039" t="str">
        <f>BH7&amp;"-"&amp;BJ7</f>
        <v>-</v>
      </c>
      <c r="BH8" s="7040"/>
      <c r="BI8" s="7031"/>
      <c r="BJ8" s="7040"/>
      <c r="BK8" s="7031"/>
      <c r="BL8" s="1780"/>
      <c r="BM8" s="2690"/>
      <c r="BO8" s="841"/>
      <c r="BP8" s="841" t="str">
        <f>IF(T8="","",T8)</f>
        <v/>
      </c>
      <c r="BQ8" s="841"/>
      <c r="BR8" s="841"/>
      <c r="BS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4161"/>
      <c r="AK9" s="4162"/>
      <c r="AL9" s="4163"/>
      <c r="AM9" s="4164"/>
      <c r="AN9" s="4165"/>
      <c r="AO9" s="4166"/>
      <c r="AP9" s="4167"/>
      <c r="AQ9" s="7049"/>
      <c r="AR9" s="7050"/>
      <c r="AS9" s="7051"/>
      <c r="AT9" s="7052"/>
      <c r="AU9" s="7053"/>
      <c r="AV9" s="7054"/>
      <c r="AW9" s="7055"/>
      <c r="AX9" s="7056"/>
      <c r="AY9" s="7057"/>
      <c r="AZ9" s="7058"/>
      <c r="BA9" s="7059"/>
      <c r="BB9" s="7060"/>
      <c r="BC9" s="7061"/>
      <c r="BD9" s="7062"/>
      <c r="BE9" s="7063"/>
      <c r="BF9" s="7064"/>
      <c r="BG9" s="7065"/>
      <c r="BH9" s="7066"/>
      <c r="BI9" s="7067"/>
      <c r="BJ9" s="7068"/>
      <c r="BK9" s="7069"/>
      <c r="BL9" s="708"/>
      <c r="BM9" s="1599" t="s">
        <v>598</v>
      </c>
      <c r="BO9" s="841"/>
      <c r="BP9" s="841" t="str">
        <f>IF(T9="","",T9)</f>
        <v>Добавить значение признака дифференциации</v>
      </c>
      <c r="BQ9" s="841"/>
      <c r="BR9" s="841"/>
      <c r="BS9" s="1496">
        <v>0</v>
      </c>
    </row>
    <row customHeight="1" ht="21" hidden="1">
      <c r="A10" s="1704"/>
      <c r="B10" s="1704"/>
      <c r="C10" s="1704"/>
      <c r="D10" s="1704"/>
      <c r="E10" s="2600"/>
      <c r="F10" s="2600"/>
      <c r="G10" s="2600"/>
      <c r="H10" s="2600"/>
      <c r="I10" s="2597"/>
      <c r="J10" s="1704"/>
      <c r="K10" s="1704"/>
      <c r="L10" s="1705"/>
      <c r="P10" s="2598"/>
      <c r="Q10" s="1763"/>
      <c r="R10" s="697"/>
      <c r="S10" s="1619"/>
      <c r="T10" s="706" t="s">
        <v>526</v>
      </c>
      <c r="U10" s="708"/>
      <c r="V10" s="708"/>
      <c r="W10" s="708"/>
      <c r="X10" s="708"/>
      <c r="Y10" s="708"/>
      <c r="Z10" s="708"/>
      <c r="AA10" s="708"/>
      <c r="AB10" s="707"/>
      <c r="AC10" s="708"/>
      <c r="AD10" s="708"/>
      <c r="AE10" s="708"/>
      <c r="AF10" s="708"/>
      <c r="AG10" s="708"/>
      <c r="AH10" s="708"/>
      <c r="AI10" s="707"/>
      <c r="AJ10" s="4168"/>
      <c r="AK10" s="4169"/>
      <c r="AL10" s="4170"/>
      <c r="AM10" s="4171"/>
      <c r="AN10" s="4172"/>
      <c r="AO10" s="4173"/>
      <c r="AP10" s="4174"/>
      <c r="AQ10" s="7077"/>
      <c r="AR10" s="7078"/>
      <c r="AS10" s="7079"/>
      <c r="AT10" s="7080"/>
      <c r="AU10" s="7081"/>
      <c r="AV10" s="7082"/>
      <c r="AW10" s="7083"/>
      <c r="AX10" s="7084"/>
      <c r="AY10" s="7085"/>
      <c r="AZ10" s="7086"/>
      <c r="BA10" s="7087"/>
      <c r="BB10" s="7088"/>
      <c r="BC10" s="7089"/>
      <c r="BD10" s="7090"/>
      <c r="BE10" s="7091"/>
      <c r="BF10" s="7092"/>
      <c r="BG10" s="7093"/>
      <c r="BH10" s="7094"/>
      <c r="BI10" s="7095"/>
      <c r="BJ10" s="7096"/>
      <c r="BK10" s="7097"/>
      <c r="BL10" s="708"/>
      <c r="BM10" s="1781"/>
      <c r="BO10" s="841"/>
      <c r="BP10" s="841" t="str">
        <f>IF(T10="","",T10)</f>
        <v>Добавить группу потребителей</v>
      </c>
      <c r="BQ10" s="841"/>
      <c r="BR10" s="841"/>
      <c r="BS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4177"/>
      <c r="AK11" s="4178"/>
      <c r="AL11" s="4179"/>
      <c r="AM11" s="4180"/>
      <c r="AN11" s="4181"/>
      <c r="AO11" s="4182"/>
      <c r="AP11" s="4183"/>
      <c r="AQ11" s="7107"/>
      <c r="AR11" s="7108"/>
      <c r="AS11" s="7109"/>
      <c r="AT11" s="7110"/>
      <c r="AU11" s="7111"/>
      <c r="AV11" s="7112"/>
      <c r="AW11" s="7113"/>
      <c r="AX11" s="7114"/>
      <c r="AY11" s="7115"/>
      <c r="AZ11" s="7116"/>
      <c r="BA11" s="7117"/>
      <c r="BB11" s="7118"/>
      <c r="BC11" s="7119"/>
      <c r="BD11" s="7120"/>
      <c r="BE11" s="7121"/>
      <c r="BF11" s="7122"/>
      <c r="BG11" s="7123"/>
      <c r="BH11" s="7124"/>
      <c r="BI11" s="7125"/>
      <c r="BJ11" s="7126"/>
      <c r="BK11" s="7127"/>
      <c r="BL11" s="708"/>
      <c r="BM11" s="644"/>
      <c r="BO11" s="841"/>
      <c r="BP11" s="841" t="str">
        <f>IF(T11="","",T11)</f>
        <v>Добавить наименование признака дифференциации</v>
      </c>
      <c r="BQ11" s="841"/>
      <c r="BR11" s="841"/>
      <c r="BS11" s="1496">
        <v>0</v>
      </c>
    </row>
    <row s="21688"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4185"/>
      <c r="AK12" s="4185"/>
      <c r="AL12" s="4185"/>
      <c r="AM12" s="4185"/>
      <c r="AN12" s="4185"/>
      <c r="AO12" s="4185"/>
      <c r="AP12" s="4185"/>
      <c r="AQ12" s="7130"/>
      <c r="AR12" s="7130"/>
      <c r="AS12" s="7130"/>
      <c r="AT12" s="7130"/>
      <c r="AU12" s="7130"/>
      <c r="AV12" s="7130"/>
      <c r="AW12" s="7130"/>
      <c r="AX12" s="7130"/>
      <c r="AY12" s="7130"/>
      <c r="AZ12" s="7130"/>
      <c r="BA12" s="7130"/>
      <c r="BB12" s="7130"/>
      <c r="BC12" s="7130"/>
      <c r="BD12" s="7130"/>
      <c r="BE12" s="7130"/>
      <c r="BF12" s="7130"/>
      <c r="BG12" s="7130"/>
      <c r="BH12" s="7130"/>
      <c r="BI12" s="7130"/>
      <c r="BJ12" s="7130"/>
      <c r="BK12" s="7130"/>
      <c r="BL12" s="1665"/>
      <c r="BM12" s="1665"/>
      <c r="BO12" s="1130"/>
      <c r="BP12" s="1130" t="str">
        <f>IF(T12="","",T12)</f>
        <v>Добавить централизованную систему для дифференциации</v>
      </c>
      <c r="BQ12" s="1130"/>
      <c r="BR12" s="1130"/>
      <c r="BS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4185"/>
      <c r="AK13" s="4185"/>
      <c r="AL13" s="4185"/>
      <c r="AM13" s="4185"/>
      <c r="AN13" s="4185"/>
      <c r="AO13" s="4185"/>
      <c r="AP13" s="4185"/>
      <c r="AQ13" s="7130"/>
      <c r="AR13" s="7130"/>
      <c r="AS13" s="7130"/>
      <c r="AT13" s="7130"/>
      <c r="AU13" s="7130"/>
      <c r="AV13" s="7130"/>
      <c r="AW13" s="7130"/>
      <c r="AX13" s="7130"/>
      <c r="AY13" s="7130"/>
      <c r="AZ13" s="7130"/>
      <c r="BA13" s="7130"/>
      <c r="BB13" s="7130"/>
      <c r="BC13" s="7130"/>
      <c r="BD13" s="7130"/>
      <c r="BE13" s="7130"/>
      <c r="BF13" s="7130"/>
      <c r="BG13" s="7130"/>
      <c r="BH13" s="7130"/>
      <c r="BI13" s="7130"/>
      <c r="BJ13" s="7130"/>
      <c r="BK13" s="7130"/>
      <c r="BL13" s="1665"/>
      <c r="BM13" s="1665"/>
      <c r="BO13" s="841"/>
      <c r="BP13" s="841" t="str">
        <f>IF(T13="","",T13)</f>
        <v>Добавить территорию для дифференциации</v>
      </c>
      <c r="BQ13" s="841"/>
      <c r="BR13" s="841"/>
      <c r="BS13" s="852">
        <v>0</v>
      </c>
    </row>
    <row customHeight="1" ht="14.25" hidden="1">
      <c r="AB14" s="668"/>
      <c r="AI14" s="668"/>
      <c r="AJ14" s="4130"/>
      <c r="AK14" s="4130"/>
      <c r="AL14" s="4130"/>
      <c r="AM14" s="4130"/>
      <c r="AN14" s="4130"/>
      <c r="AO14" s="4130"/>
      <c r="AP14" s="4130"/>
      <c r="AQ14" s="6995"/>
      <c r="AR14" s="6995"/>
      <c r="AS14" s="6995"/>
      <c r="AT14" s="6995"/>
      <c r="AU14" s="6995"/>
      <c r="AV14" s="6995"/>
      <c r="AW14" s="6995"/>
      <c r="AX14" s="6995"/>
      <c r="AY14" s="6995"/>
      <c r="AZ14" s="6995"/>
      <c r="BA14" s="6995"/>
      <c r="BB14" s="6995"/>
      <c r="BC14" s="6995"/>
      <c r="BD14" s="6995"/>
      <c r="BE14" s="6995"/>
      <c r="BF14" s="6995"/>
      <c r="BG14" s="6995"/>
      <c r="BH14" s="6995"/>
      <c r="BI14" s="6995"/>
      <c r="BJ14" s="6995"/>
      <c r="BK14" s="6995"/>
      <c r="BS14" s="1496">
        <v>0</v>
      </c>
    </row>
    <row customHeight="1" ht="14.25" hidden="1">
      <c r="AC15" s="1701"/>
      <c r="AD15" s="1701"/>
      <c r="AE15" s="1702"/>
      <c r="AF15" s="2608"/>
      <c r="AG15" s="2609" t="s">
        <v>66</v>
      </c>
      <c r="AH15" s="2608"/>
      <c r="AI15" s="2609" t="s">
        <v>66</v>
      </c>
      <c r="AJ15" s="4130"/>
      <c r="AK15" s="4130"/>
      <c r="AL15" s="4130"/>
      <c r="AM15" s="4130"/>
      <c r="AN15" s="4130"/>
      <c r="AO15" s="4130"/>
      <c r="AP15" s="4130"/>
      <c r="AQ15" s="6995"/>
      <c r="AR15" s="6995"/>
      <c r="AS15" s="6995"/>
      <c r="AT15" s="6995"/>
      <c r="AU15" s="6995"/>
      <c r="AV15" s="6995"/>
      <c r="AW15" s="6995"/>
      <c r="AX15" s="6995"/>
      <c r="AY15" s="6995"/>
      <c r="AZ15" s="6995"/>
      <c r="BA15" s="6995"/>
      <c r="BB15" s="6995"/>
      <c r="BC15" s="6995"/>
      <c r="BD15" s="6995"/>
      <c r="BE15" s="6995"/>
      <c r="BF15" s="6995"/>
      <c r="BG15" s="6995"/>
      <c r="BH15" s="6995"/>
      <c r="BI15" s="6995"/>
      <c r="BJ15" s="6995"/>
      <c r="BK15" s="6995"/>
      <c r="BS15" s="1496">
        <v>0</v>
      </c>
    </row>
    <row customHeight="1" ht="14.25" hidden="1">
      <c r="AC16" s="1701"/>
      <c r="AD16" s="1701"/>
      <c r="AE16" s="669" t="str">
        <f>AF15&amp;"-"&amp;AH15</f>
        <v>-</v>
      </c>
      <c r="AF16" s="2609"/>
      <c r="AG16" s="2609"/>
      <c r="AH16" s="2609"/>
      <c r="AI16" s="2609"/>
      <c r="AJ16" s="4130"/>
      <c r="AK16" s="4130"/>
      <c r="AL16" s="4130"/>
      <c r="AM16" s="4130"/>
      <c r="AN16" s="4130"/>
      <c r="AO16" s="4130"/>
      <c r="AP16" s="4130"/>
      <c r="AQ16" s="6995"/>
      <c r="AR16" s="6995"/>
      <c r="AS16" s="6995"/>
      <c r="AT16" s="6995"/>
      <c r="AU16" s="6995"/>
      <c r="AV16" s="6995"/>
      <c r="AW16" s="6995"/>
      <c r="AX16" s="6995"/>
      <c r="AY16" s="6995"/>
      <c r="AZ16" s="6995"/>
      <c r="BA16" s="6995"/>
      <c r="BB16" s="6995"/>
      <c r="BC16" s="6995"/>
      <c r="BD16" s="6995"/>
      <c r="BE16" s="6995"/>
      <c r="BF16" s="6995"/>
      <c r="BG16" s="6995"/>
      <c r="BH16" s="6995"/>
      <c r="BI16" s="6995"/>
      <c r="BJ16" s="6995"/>
      <c r="BK16" s="6995"/>
      <c r="BS16" s="1496">
        <v>0</v>
      </c>
    </row>
    <row customHeight="1" ht="14.25" hidden="1">
      <c r="AI17" s="668"/>
      <c r="AJ17" s="4130"/>
      <c r="AK17" s="4130"/>
      <c r="AL17" s="4130"/>
      <c r="AM17" s="4130"/>
      <c r="AN17" s="4130"/>
      <c r="AO17" s="4130"/>
      <c r="AP17" s="4130"/>
      <c r="AQ17" s="6995"/>
      <c r="AR17" s="6995"/>
      <c r="AS17" s="6995"/>
      <c r="AT17" s="6995"/>
      <c r="AU17" s="6995"/>
      <c r="AV17" s="6995"/>
      <c r="AW17" s="6995"/>
      <c r="AX17" s="6995"/>
      <c r="AY17" s="6995"/>
      <c r="AZ17" s="6995"/>
      <c r="BA17" s="6995"/>
      <c r="BB17" s="6995"/>
      <c r="BC17" s="6995"/>
      <c r="BD17" s="6995"/>
      <c r="BE17" s="6995"/>
      <c r="BF17" s="6995"/>
      <c r="BG17" s="6995"/>
      <c r="BH17" s="6995"/>
      <c r="BI17" s="6995"/>
      <c r="BJ17" s="6995"/>
      <c r="BK17" s="6995"/>
      <c r="BS17" s="1496">
        <v>0</v>
      </c>
    </row>
    <row s="21687" customFormat="1" customHeight="1" ht="22.5" hidden="1">
      <c r="L18" s="1762"/>
      <c r="M18" s="1703"/>
      <c r="N18" s="1703"/>
      <c r="O18" s="1708" t="s">
        <v>529</v>
      </c>
      <c r="P18" s="1703"/>
      <c r="Q18" s="1712"/>
      <c r="R18" s="1712"/>
      <c r="S18" s="1070"/>
      <c r="Y18" s="1708"/>
      <c r="AA18" s="1708"/>
      <c r="AB18" s="1707"/>
      <c r="AF18" s="1708"/>
      <c r="AH18" s="1708"/>
      <c r="AI18" s="1707"/>
      <c r="AJ18" s="4187"/>
      <c r="AK18" s="4187"/>
      <c r="AL18" s="4187"/>
      <c r="AM18" s="4188"/>
      <c r="AN18" s="4187"/>
      <c r="AO18" s="4188"/>
      <c r="AP18" s="4187"/>
      <c r="AQ18" s="7134"/>
      <c r="AR18" s="7134"/>
      <c r="AS18" s="7134"/>
      <c r="AT18" s="7135"/>
      <c r="AU18" s="7134"/>
      <c r="AV18" s="7135"/>
      <c r="AW18" s="7134"/>
      <c r="AX18" s="7134"/>
      <c r="AY18" s="7134"/>
      <c r="AZ18" s="7134"/>
      <c r="BA18" s="7135"/>
      <c r="BB18" s="7134"/>
      <c r="BC18" s="7135"/>
      <c r="BD18" s="7134"/>
      <c r="BE18" s="7134"/>
      <c r="BF18" s="7134"/>
      <c r="BG18" s="7134"/>
      <c r="BH18" s="7135"/>
      <c r="BI18" s="7134"/>
      <c r="BJ18" s="7135"/>
      <c r="BK18" s="7134"/>
      <c r="BN18" s="852"/>
      <c r="BO18" s="852"/>
      <c r="BP18" s="852"/>
      <c r="BQ18" s="852"/>
      <c r="BR18" s="852"/>
      <c r="BS18" s="1501">
        <v>0</v>
      </c>
    </row>
    <row s="21687" customFormat="1" customHeight="1" ht="14.25" hidden="1">
      <c r="L19" s="1762"/>
      <c r="M19" s="1703"/>
      <c r="N19" s="1703"/>
      <c r="O19" s="1703"/>
      <c r="P19" s="1703"/>
      <c r="Q19" s="1712"/>
      <c r="R19" s="1712"/>
      <c r="S19" s="1070"/>
      <c r="AB19" s="1707"/>
      <c r="AI19" s="1707"/>
      <c r="AJ19" s="4187"/>
      <c r="AK19" s="4187"/>
      <c r="AL19" s="4187"/>
      <c r="AM19" s="4187"/>
      <c r="AN19" s="4187"/>
      <c r="AO19" s="4187"/>
      <c r="AP19" s="4187"/>
      <c r="AQ19" s="7134"/>
      <c r="AR19" s="7134"/>
      <c r="AS19" s="7134"/>
      <c r="AT19" s="7134"/>
      <c r="AU19" s="7134"/>
      <c r="AV19" s="7134"/>
      <c r="AW19" s="7134"/>
      <c r="AX19" s="7134"/>
      <c r="AY19" s="7134"/>
      <c r="AZ19" s="7134"/>
      <c r="BA19" s="7134"/>
      <c r="BB19" s="7134"/>
      <c r="BC19" s="7134"/>
      <c r="BD19" s="7134"/>
      <c r="BE19" s="7134"/>
      <c r="BF19" s="7134"/>
      <c r="BG19" s="7134"/>
      <c r="BH19" s="7134"/>
      <c r="BI19" s="7134"/>
      <c r="BJ19" s="7134"/>
      <c r="BK19" s="7134"/>
      <c r="BN19" s="852"/>
      <c r="BO19" s="852"/>
      <c r="BP19" s="852"/>
      <c r="BQ19" s="852"/>
      <c r="BR19" s="852"/>
      <c r="BS19" s="1501">
        <v>0</v>
      </c>
    </row>
    <row s="21687" customFormat="1" customHeight="1" ht="12" hidden="1">
      <c r="L20" s="1762"/>
      <c r="M20" s="1703"/>
      <c r="N20" s="1703"/>
      <c r="O20" s="1705" t="s">
        <v>530</v>
      </c>
      <c r="P20" s="1703"/>
      <c r="Q20" s="1783"/>
      <c r="R20" s="1783"/>
      <c r="S20" s="1070"/>
      <c r="T20" s="1501" t="s">
        <v>531</v>
      </c>
      <c r="Z20" s="527" t="s">
        <v>532</v>
      </c>
      <c r="AB20" s="527" t="s">
        <v>533</v>
      </c>
      <c r="AC20" s="1501" t="s">
        <v>531</v>
      </c>
      <c r="AG20" s="527" t="s">
        <v>534</v>
      </c>
      <c r="AI20" s="527" t="s">
        <v>533</v>
      </c>
      <c r="AJ20" s="4187"/>
      <c r="AK20" s="4187"/>
      <c r="AL20" s="4187"/>
      <c r="AM20" s="4187"/>
      <c r="AN20" s="4190" t="s">
        <v>532</v>
      </c>
      <c r="AO20" s="4187"/>
      <c r="AP20" s="4190" t="s">
        <v>533</v>
      </c>
      <c r="AQ20" s="7134"/>
      <c r="AR20" s="7134"/>
      <c r="AS20" s="7134"/>
      <c r="AT20" s="7134"/>
      <c r="AU20" s="7138" t="s">
        <v>532</v>
      </c>
      <c r="AV20" s="7134"/>
      <c r="AW20" s="7138" t="s">
        <v>533</v>
      </c>
      <c r="AX20" s="7134"/>
      <c r="AY20" s="7134"/>
      <c r="AZ20" s="7134"/>
      <c r="BA20" s="7134"/>
      <c r="BB20" s="7138" t="s">
        <v>532</v>
      </c>
      <c r="BC20" s="7134"/>
      <c r="BD20" s="7138" t="s">
        <v>533</v>
      </c>
      <c r="BE20" s="7134"/>
      <c r="BF20" s="7134"/>
      <c r="BG20" s="7134"/>
      <c r="BH20" s="7134"/>
      <c r="BI20" s="7138" t="s">
        <v>532</v>
      </c>
      <c r="BJ20" s="7134"/>
      <c r="BK20" s="7138" t="s">
        <v>533</v>
      </c>
      <c r="BS20" s="1501">
        <v>0</v>
      </c>
    </row>
    <row customHeight="1" ht="14.25" hidden="1">
      <c r="O21" s="1705"/>
      <c r="AJ21" s="4130"/>
      <c r="AK21" s="4130"/>
      <c r="AL21" s="4130"/>
      <c r="AM21" s="4130"/>
      <c r="AN21" s="4130"/>
      <c r="AO21" s="4130"/>
      <c r="AP21" s="4130"/>
      <c r="AQ21" s="6995"/>
      <c r="AR21" s="6995"/>
      <c r="AS21" s="6995"/>
      <c r="AT21" s="6995"/>
      <c r="AU21" s="6995"/>
      <c r="AV21" s="6995"/>
      <c r="AW21" s="6995"/>
      <c r="AX21" s="6995"/>
      <c r="AY21" s="6995"/>
      <c r="AZ21" s="6995"/>
      <c r="BA21" s="6995"/>
      <c r="BB21" s="6995"/>
      <c r="BC21" s="6995"/>
      <c r="BD21" s="6995"/>
      <c r="BE21" s="6995"/>
      <c r="BF21" s="6995"/>
      <c r="BG21" s="6995"/>
      <c r="BH21" s="6995"/>
      <c r="BI21" s="6995"/>
      <c r="BJ21" s="6995"/>
      <c r="BK21" s="6995"/>
      <c r="BS21" s="1496">
        <v>0</v>
      </c>
    </row>
    <row customHeight="1" ht="14.25" hidden="1">
      <c r="O22" s="1705"/>
      <c r="AJ22" s="4130"/>
      <c r="AK22" s="4130"/>
      <c r="AL22" s="4130"/>
      <c r="AM22" s="4130"/>
      <c r="AN22" s="4130"/>
      <c r="AO22" s="4130"/>
      <c r="AP22" s="4130"/>
      <c r="AQ22" s="6995"/>
      <c r="AR22" s="6995"/>
      <c r="AS22" s="6995"/>
      <c r="AT22" s="6995"/>
      <c r="AU22" s="6995"/>
      <c r="AV22" s="6995"/>
      <c r="AW22" s="6995"/>
      <c r="AX22" s="6995"/>
      <c r="AY22" s="6995"/>
      <c r="AZ22" s="6995"/>
      <c r="BA22" s="6995"/>
      <c r="BB22" s="6995"/>
      <c r="BC22" s="6995"/>
      <c r="BD22" s="6995"/>
      <c r="BE22" s="6995"/>
      <c r="BF22" s="6995"/>
      <c r="BG22" s="6995"/>
      <c r="BH22" s="6995"/>
      <c r="BI22" s="6995"/>
      <c r="BJ22" s="6995"/>
      <c r="BK22" s="6995"/>
      <c r="BS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J23" s="4130"/>
      <c r="AK23" s="4130"/>
      <c r="AL23" s="4130"/>
      <c r="AM23" s="4130"/>
      <c r="AN23" s="4130"/>
      <c r="AO23" s="4130"/>
      <c r="AP23" s="4130"/>
      <c r="AQ23" s="6995"/>
      <c r="AR23" s="6995"/>
      <c r="AS23" s="6995"/>
      <c r="AT23" s="6995"/>
      <c r="AU23" s="6995"/>
      <c r="AV23" s="6995"/>
      <c r="AW23" s="6995"/>
      <c r="AX23" s="6995"/>
      <c r="AY23" s="6995"/>
      <c r="AZ23" s="6995"/>
      <c r="BA23" s="6995"/>
      <c r="BB23" s="6995"/>
      <c r="BC23" s="6995"/>
      <c r="BD23" s="6995"/>
      <c r="BE23" s="6995"/>
      <c r="BF23" s="6995"/>
      <c r="BG23" s="6995"/>
      <c r="BH23" s="6995"/>
      <c r="BI23" s="6995"/>
      <c r="BJ23" s="6995"/>
      <c r="BK23" s="6995"/>
      <c r="BS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J24" s="4191"/>
      <c r="AK24" s="4191"/>
      <c r="AL24" s="4191"/>
      <c r="AM24" s="4191"/>
      <c r="AN24" s="4191"/>
      <c r="AO24" s="4191"/>
      <c r="AP24" s="4191"/>
      <c r="AQ24" s="7140"/>
      <c r="AR24" s="7140"/>
      <c r="AS24" s="7140"/>
      <c r="AT24" s="7140"/>
      <c r="AU24" s="7140"/>
      <c r="AV24" s="7140"/>
      <c r="AW24" s="7140"/>
      <c r="AX24" s="7140"/>
      <c r="AY24" s="7140"/>
      <c r="AZ24" s="7140"/>
      <c r="BA24" s="7140"/>
      <c r="BB24" s="7140"/>
      <c r="BC24" s="7140"/>
      <c r="BD24" s="7140"/>
      <c r="BE24" s="7140"/>
      <c r="BF24" s="7140"/>
      <c r="BG24" s="7140"/>
      <c r="BH24" s="7140"/>
      <c r="BI24" s="7140"/>
      <c r="BJ24" s="7140"/>
      <c r="BK24" s="7140"/>
      <c r="BS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J25" s="4192"/>
      <c r="AK25" s="4192"/>
      <c r="AL25" s="4192"/>
      <c r="AM25" s="4192"/>
      <c r="AN25" s="4192"/>
      <c r="AO25" s="4192"/>
      <c r="AP25" s="4192"/>
      <c r="AQ25" s="7142"/>
      <c r="AR25" s="7142"/>
      <c r="AS25" s="7142"/>
      <c r="AT25" s="7142"/>
      <c r="AU25" s="7142"/>
      <c r="AV25" s="7142"/>
      <c r="AW25" s="7142"/>
      <c r="AX25" s="7142"/>
      <c r="AY25" s="7142"/>
      <c r="AZ25" s="7142"/>
      <c r="BA25" s="7142"/>
      <c r="BB25" s="7142"/>
      <c r="BC25" s="7142"/>
      <c r="BD25" s="7142"/>
      <c r="BE25" s="7142"/>
      <c r="BF25" s="7142"/>
      <c r="BG25" s="7142"/>
      <c r="BH25" s="7142"/>
      <c r="BI25" s="7142"/>
      <c r="BJ25" s="7142"/>
      <c r="BK25" s="7142"/>
      <c r="BS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4193"/>
      <c r="AK26" s="4193"/>
      <c r="AL26" s="4193"/>
      <c r="AM26" s="4193"/>
      <c r="AN26" s="4193"/>
      <c r="AO26" s="4193"/>
      <c r="AP26" s="4193"/>
      <c r="AQ26" s="7144"/>
      <c r="AR26" s="7144"/>
      <c r="AS26" s="7144"/>
      <c r="AT26" s="7144"/>
      <c r="AU26" s="7144"/>
      <c r="AV26" s="7144"/>
      <c r="AW26" s="7144"/>
      <c r="AX26" s="7144"/>
      <c r="AY26" s="7144"/>
      <c r="AZ26" s="7144"/>
      <c r="BA26" s="7144"/>
      <c r="BB26" s="7144"/>
      <c r="BC26" s="7144"/>
      <c r="BD26" s="7144"/>
      <c r="BE26" s="7144"/>
      <c r="BF26" s="7144"/>
      <c r="BG26" s="7144"/>
      <c r="BH26" s="7144"/>
      <c r="BI26" s="7144"/>
      <c r="BJ26" s="7144"/>
      <c r="BK26" s="7144"/>
      <c r="BL26" s="850"/>
      <c r="BS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4194" t="str">
        <f>IF(TITLE_NAME_OR_PR_CHANGE="",IF(TITLE_NAME_OR_PR="","",TITLE_NAME_OR_PR),TITLE_NAME_OR_PR_CHANGE)</f>
        <v/>
      </c>
      <c r="AK27" s="4194"/>
      <c r="AL27" s="4194"/>
      <c r="AM27" s="4194"/>
      <c r="AN27" s="4194"/>
      <c r="AO27" s="4194"/>
      <c r="AP27" s="4130"/>
      <c r="AQ27" s="7146" t="str">
        <f>IF(TITLE_NAME_OR_PR_CHANGE="",IF(TITLE_NAME_OR_PR="","",TITLE_NAME_OR_PR),TITLE_NAME_OR_PR_CHANGE)</f>
        <v/>
      </c>
      <c r="AR27" s="7146"/>
      <c r="AS27" s="7146"/>
      <c r="AT27" s="7146"/>
      <c r="AU27" s="7146"/>
      <c r="AV27" s="7146"/>
      <c r="AW27" s="6995"/>
      <c r="AX27" s="7146" t="str">
        <f>IF(TITLE_NAME_OR_PR_CHANGE="",IF(TITLE_NAME_OR_PR="","",TITLE_NAME_OR_PR),TITLE_NAME_OR_PR_CHANGE)</f>
        <v/>
      </c>
      <c r="AY27" s="7146"/>
      <c r="AZ27" s="7146"/>
      <c r="BA27" s="7146"/>
      <c r="BB27" s="7146"/>
      <c r="BC27" s="7146"/>
      <c r="BD27" s="6995"/>
      <c r="BE27" s="7146" t="str">
        <f>IF(TITLE_NAME_OR_PR_CHANGE="",IF(TITLE_NAME_OR_PR="","",TITLE_NAME_OR_PR),TITLE_NAME_OR_PR_CHANGE)</f>
        <v/>
      </c>
      <c r="BF27" s="7146"/>
      <c r="BG27" s="7146"/>
      <c r="BH27" s="7146"/>
      <c r="BI27" s="7146"/>
      <c r="BJ27" s="7146"/>
      <c r="BK27" s="6995"/>
      <c r="BL27" s="667"/>
      <c r="BM27" s="621"/>
      <c r="BN27" s="709"/>
      <c r="BO27" s="709"/>
      <c r="BP27" s="709"/>
      <c r="BQ27" s="709"/>
      <c r="BR27" s="709"/>
      <c r="BS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4195" t="str">
        <f>IF(TITLE_DATE_PR_CHANGE="",IF(TITLE_DATE_PR="","",TITLE_DATE_PR),TITLE_DATE_PR_CHANGE)</f>
        <v>45408.52040509259</v>
      </c>
      <c r="AK28" s="4195"/>
      <c r="AL28" s="4195"/>
      <c r="AM28" s="4195"/>
      <c r="AN28" s="4195"/>
      <c r="AO28" s="4195"/>
      <c r="AP28" s="4130"/>
      <c r="AQ28" s="7148" t="str">
        <f>IF(TITLE_DATE_PR_CHANGE="",IF(TITLE_DATE_PR="","",TITLE_DATE_PR),TITLE_DATE_PR_CHANGE)</f>
        <v>45408.52040509259</v>
      </c>
      <c r="AR28" s="7148"/>
      <c r="AS28" s="7148"/>
      <c r="AT28" s="7148"/>
      <c r="AU28" s="7148"/>
      <c r="AV28" s="7148"/>
      <c r="AW28" s="6995"/>
      <c r="AX28" s="7148" t="str">
        <f>IF(TITLE_DATE_PR_CHANGE="",IF(TITLE_DATE_PR="","",TITLE_DATE_PR),TITLE_DATE_PR_CHANGE)</f>
        <v>45408.52040509259</v>
      </c>
      <c r="AY28" s="7148"/>
      <c r="AZ28" s="7148"/>
      <c r="BA28" s="7148"/>
      <c r="BB28" s="7148"/>
      <c r="BC28" s="7148"/>
      <c r="BD28" s="6995"/>
      <c r="BE28" s="7148" t="str">
        <f>IF(TITLE_DATE_PR_CHANGE="",IF(TITLE_DATE_PR="","",TITLE_DATE_PR),TITLE_DATE_PR_CHANGE)</f>
        <v>45408.52040509259</v>
      </c>
      <c r="BF28" s="7148"/>
      <c r="BG28" s="7148"/>
      <c r="BH28" s="7148"/>
      <c r="BI28" s="7148"/>
      <c r="BJ28" s="7148"/>
      <c r="BK28" s="6995"/>
      <c r="BL28" s="667"/>
      <c r="BM28" s="621"/>
      <c r="BN28" s="709"/>
      <c r="BO28" s="709"/>
      <c r="BP28" s="709"/>
      <c r="BQ28" s="709"/>
      <c r="BR28" s="709"/>
      <c r="BS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4194" t="str">
        <f>IF(TITLE_NUMBER_PR_CHANGE="",IF(TITLE_NUMBER_PR="","",TITLE_NUMBER_PR),TITLE_NUMBER_PR_CHANGE)</f>
        <v>27-2139</v>
      </c>
      <c r="AK29" s="4194"/>
      <c r="AL29" s="4194"/>
      <c r="AM29" s="4194"/>
      <c r="AN29" s="4194"/>
      <c r="AO29" s="4194"/>
      <c r="AP29" s="4130"/>
      <c r="AQ29" s="7146" t="str">
        <f>IF(TITLE_NUMBER_PR_CHANGE="",IF(TITLE_NUMBER_PR="","",TITLE_NUMBER_PR),TITLE_NUMBER_PR_CHANGE)</f>
        <v>27-2139</v>
      </c>
      <c r="AR29" s="7146"/>
      <c r="AS29" s="7146"/>
      <c r="AT29" s="7146"/>
      <c r="AU29" s="7146"/>
      <c r="AV29" s="7146"/>
      <c r="AW29" s="6995"/>
      <c r="AX29" s="7146" t="str">
        <f>IF(TITLE_NUMBER_PR_CHANGE="",IF(TITLE_NUMBER_PR="","",TITLE_NUMBER_PR),TITLE_NUMBER_PR_CHANGE)</f>
        <v>27-2139</v>
      </c>
      <c r="AY29" s="7146"/>
      <c r="AZ29" s="7146"/>
      <c r="BA29" s="7146"/>
      <c r="BB29" s="7146"/>
      <c r="BC29" s="7146"/>
      <c r="BD29" s="6995"/>
      <c r="BE29" s="7146" t="str">
        <f>IF(TITLE_NUMBER_PR_CHANGE="",IF(TITLE_NUMBER_PR="","",TITLE_NUMBER_PR),TITLE_NUMBER_PR_CHANGE)</f>
        <v>27-2139</v>
      </c>
      <c r="BF29" s="7146"/>
      <c r="BG29" s="7146"/>
      <c r="BH29" s="7146"/>
      <c r="BI29" s="7146"/>
      <c r="BJ29" s="7146"/>
      <c r="BK29" s="6995"/>
      <c r="BL29" s="667"/>
      <c r="BM29" s="621"/>
      <c r="BN29" s="709"/>
      <c r="BO29" s="709"/>
      <c r="BP29" s="709"/>
      <c r="BQ29" s="709"/>
      <c r="BR29" s="709"/>
      <c r="BS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4194" t="str">
        <f>IF(TITLE_IST_PUB_CHANGE="",IF(TITLE_IST_PUB="","",TITLE_IST_PUB),TITLE_IST_PUB_CHANGE)</f>
        <v/>
      </c>
      <c r="AK30" s="4194"/>
      <c r="AL30" s="4194"/>
      <c r="AM30" s="4194"/>
      <c r="AN30" s="4194"/>
      <c r="AO30" s="4194"/>
      <c r="AP30" s="4130"/>
      <c r="AQ30" s="7146" t="str">
        <f>IF(TITLE_IST_PUB_CHANGE="",IF(TITLE_IST_PUB="","",TITLE_IST_PUB),TITLE_IST_PUB_CHANGE)</f>
        <v/>
      </c>
      <c r="AR30" s="7146"/>
      <c r="AS30" s="7146"/>
      <c r="AT30" s="7146"/>
      <c r="AU30" s="7146"/>
      <c r="AV30" s="7146"/>
      <c r="AW30" s="6995"/>
      <c r="AX30" s="7146" t="str">
        <f>IF(TITLE_IST_PUB_CHANGE="",IF(TITLE_IST_PUB="","",TITLE_IST_PUB),TITLE_IST_PUB_CHANGE)</f>
        <v/>
      </c>
      <c r="AY30" s="7146"/>
      <c r="AZ30" s="7146"/>
      <c r="BA30" s="7146"/>
      <c r="BB30" s="7146"/>
      <c r="BC30" s="7146"/>
      <c r="BD30" s="6995"/>
      <c r="BE30" s="7146" t="str">
        <f>IF(TITLE_IST_PUB_CHANGE="",IF(TITLE_IST_PUB="","",TITLE_IST_PUB),TITLE_IST_PUB_CHANGE)</f>
        <v/>
      </c>
      <c r="BF30" s="7146"/>
      <c r="BG30" s="7146"/>
      <c r="BH30" s="7146"/>
      <c r="BI30" s="7146"/>
      <c r="BJ30" s="7146"/>
      <c r="BK30" s="6995"/>
      <c r="BL30" s="667"/>
      <c r="BM30" s="621"/>
      <c r="BN30" s="709"/>
      <c r="BO30" s="709"/>
      <c r="BP30" s="709"/>
      <c r="BQ30" s="709"/>
      <c r="BR30" s="709"/>
      <c r="BS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4193"/>
      <c r="AK31" s="4193"/>
      <c r="AL31" s="4193"/>
      <c r="AM31" s="4193"/>
      <c r="AN31" s="4193"/>
      <c r="AO31" s="4193"/>
      <c r="AP31" s="4193"/>
      <c r="AQ31" s="7144"/>
      <c r="AR31" s="7144"/>
      <c r="AS31" s="7144"/>
      <c r="AT31" s="7144"/>
      <c r="AU31" s="7144"/>
      <c r="AV31" s="7144"/>
      <c r="AW31" s="7144"/>
      <c r="AX31" s="7144"/>
      <c r="AY31" s="7144"/>
      <c r="AZ31" s="7144"/>
      <c r="BA31" s="7144"/>
      <c r="BB31" s="7144"/>
      <c r="BC31" s="7144"/>
      <c r="BD31" s="7144"/>
      <c r="BE31" s="7144"/>
      <c r="BF31" s="7144"/>
      <c r="BG31" s="7144"/>
      <c r="BH31" s="7144"/>
      <c r="BI31" s="7144"/>
      <c r="BJ31" s="7144"/>
      <c r="BK31" s="7144"/>
      <c r="BL31" s="850"/>
      <c r="BS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4195" t="str">
        <f>IF(TITLE_DATE_PR_CHANGE="",IF(TITLE_DATE_PR="","",TITLE_DATE_PR),TITLE_DATE_PR_CHANGE)</f>
        <v>45408.52040509259</v>
      </c>
      <c r="AK32" s="4195"/>
      <c r="AL32" s="4195"/>
      <c r="AM32" s="4195"/>
      <c r="AN32" s="4195"/>
      <c r="AO32" s="4195"/>
      <c r="AP32" s="4130"/>
      <c r="AQ32" s="7148" t="str">
        <f>IF(TITLE_DATE_PR_CHANGE="",IF(TITLE_DATE_PR="","",TITLE_DATE_PR),TITLE_DATE_PR_CHANGE)</f>
        <v>45408.52040509259</v>
      </c>
      <c r="AR32" s="7148"/>
      <c r="AS32" s="7148"/>
      <c r="AT32" s="7148"/>
      <c r="AU32" s="7148"/>
      <c r="AV32" s="7148"/>
      <c r="AW32" s="6995"/>
      <c r="AX32" s="7148" t="str">
        <f>IF(TITLE_DATE_PR_CHANGE="",IF(TITLE_DATE_PR="","",TITLE_DATE_PR),TITLE_DATE_PR_CHANGE)</f>
        <v>45408.52040509259</v>
      </c>
      <c r="AY32" s="7148"/>
      <c r="AZ32" s="7148"/>
      <c r="BA32" s="7148"/>
      <c r="BB32" s="7148"/>
      <c r="BC32" s="7148"/>
      <c r="BD32" s="6995"/>
      <c r="BE32" s="7148" t="str">
        <f>IF(TITLE_DATE_PR_CHANGE="",IF(TITLE_DATE_PR="","",TITLE_DATE_PR),TITLE_DATE_PR_CHANGE)</f>
        <v>45408.52040509259</v>
      </c>
      <c r="BF32" s="7148"/>
      <c r="BG32" s="7148"/>
      <c r="BH32" s="7148"/>
      <c r="BI32" s="7148"/>
      <c r="BJ32" s="7148"/>
      <c r="BK32" s="6995"/>
      <c r="BL32" s="667"/>
      <c r="BM32" s="621"/>
      <c r="BN32" s="709"/>
      <c r="BO32" s="709"/>
      <c r="BP32" s="709"/>
      <c r="BQ32" s="709"/>
      <c r="BR32" s="709"/>
      <c r="BS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4194" t="str">
        <f>IF(TITLE_NUMBER_PR_CHANGE="",IF(TITLE_NUMBER_PR="","",TITLE_NUMBER_PR),TITLE_NUMBER_PR_CHANGE)</f>
        <v>27-2139</v>
      </c>
      <c r="AK33" s="4194"/>
      <c r="AL33" s="4194"/>
      <c r="AM33" s="4194"/>
      <c r="AN33" s="4194"/>
      <c r="AO33" s="4194"/>
      <c r="AP33" s="4130"/>
      <c r="AQ33" s="7146" t="str">
        <f>IF(TITLE_NUMBER_PR_CHANGE="",IF(TITLE_NUMBER_PR="","",TITLE_NUMBER_PR),TITLE_NUMBER_PR_CHANGE)</f>
        <v>27-2139</v>
      </c>
      <c r="AR33" s="7146"/>
      <c r="AS33" s="7146"/>
      <c r="AT33" s="7146"/>
      <c r="AU33" s="7146"/>
      <c r="AV33" s="7146"/>
      <c r="AW33" s="6995"/>
      <c r="AX33" s="7146" t="str">
        <f>IF(TITLE_NUMBER_PR_CHANGE="",IF(TITLE_NUMBER_PR="","",TITLE_NUMBER_PR),TITLE_NUMBER_PR_CHANGE)</f>
        <v>27-2139</v>
      </c>
      <c r="AY33" s="7146"/>
      <c r="AZ33" s="7146"/>
      <c r="BA33" s="7146"/>
      <c r="BB33" s="7146"/>
      <c r="BC33" s="7146"/>
      <c r="BD33" s="6995"/>
      <c r="BE33" s="7146" t="str">
        <f>IF(TITLE_NUMBER_PR_CHANGE="",IF(TITLE_NUMBER_PR="","",TITLE_NUMBER_PR),TITLE_NUMBER_PR_CHANGE)</f>
        <v>27-2139</v>
      </c>
      <c r="BF33" s="7146"/>
      <c r="BG33" s="7146"/>
      <c r="BH33" s="7146"/>
      <c r="BI33" s="7146"/>
      <c r="BJ33" s="7146"/>
      <c r="BK33" s="6995"/>
      <c r="BL33" s="667"/>
      <c r="BM33" s="621"/>
      <c r="BN33" s="709"/>
      <c r="BO33" s="709"/>
      <c r="BP33" s="709"/>
      <c r="BQ33" s="709"/>
      <c r="BR33" s="709"/>
      <c r="BS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539</v>
      </c>
      <c r="AC34" s="667"/>
      <c r="AD34" s="667"/>
      <c r="AE34" s="667"/>
      <c r="AF34" s="667"/>
      <c r="AG34" s="667"/>
      <c r="AH34" s="667"/>
      <c r="AI34" s="619" t="s">
        <v>539</v>
      </c>
      <c r="AJ34" s="4130"/>
      <c r="AK34" s="4130"/>
      <c r="AL34" s="4130"/>
      <c r="AM34" s="4130"/>
      <c r="AN34" s="4130"/>
      <c r="AO34" s="4130"/>
      <c r="AP34" s="4197" t="s">
        <v>539</v>
      </c>
      <c r="AQ34" s="6995"/>
      <c r="AR34" s="6995"/>
      <c r="AS34" s="6995"/>
      <c r="AT34" s="6995"/>
      <c r="AU34" s="6995"/>
      <c r="AV34" s="6995"/>
      <c r="AW34" s="7151" t="s">
        <v>539</v>
      </c>
      <c r="AX34" s="6995"/>
      <c r="AY34" s="6995"/>
      <c r="AZ34" s="6995"/>
      <c r="BA34" s="6995"/>
      <c r="BB34" s="6995"/>
      <c r="BC34" s="6995"/>
      <c r="BD34" s="7151" t="s">
        <v>539</v>
      </c>
      <c r="BE34" s="6995"/>
      <c r="BF34" s="6995"/>
      <c r="BG34" s="6995"/>
      <c r="BH34" s="6995"/>
      <c r="BI34" s="6995"/>
      <c r="BJ34" s="6995"/>
      <c r="BK34" s="7151" t="s">
        <v>539</v>
      </c>
      <c r="BN34" s="709"/>
      <c r="BO34" s="709"/>
      <c r="BP34" s="709"/>
      <c r="BQ34" s="709"/>
      <c r="BR34" s="709"/>
      <c r="BS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4198" t="s">
        <v>104</v>
      </c>
      <c r="AK35" s="4198"/>
      <c r="AL35" s="4198"/>
      <c r="AM35" s="4198"/>
      <c r="AN35" s="4198"/>
      <c r="AO35" s="4198"/>
      <c r="AP35" s="4198"/>
      <c r="AQ35" s="7153" t="s">
        <v>104</v>
      </c>
      <c r="AR35" s="7153"/>
      <c r="AS35" s="7153"/>
      <c r="AT35" s="7153"/>
      <c r="AU35" s="7153"/>
      <c r="AV35" s="7153"/>
      <c r="AW35" s="7153"/>
      <c r="AX35" s="7153" t="s">
        <v>104</v>
      </c>
      <c r="AY35" s="7153"/>
      <c r="AZ35" s="7153"/>
      <c r="BA35" s="7153"/>
      <c r="BB35" s="7153"/>
      <c r="BC35" s="7153"/>
      <c r="BD35" s="7153"/>
      <c r="BE35" s="7153" t="s">
        <v>104</v>
      </c>
      <c r="BF35" s="7153"/>
      <c r="BG35" s="7153"/>
      <c r="BH35" s="7153"/>
      <c r="BI35" s="7153"/>
      <c r="BJ35" s="7153"/>
      <c r="BK35" s="7153"/>
      <c r="BS35" s="1496">
        <v>14</v>
      </c>
    </row>
    <row customHeight="1" ht="15">
      <c r="Q36" s="717"/>
      <c r="R36" s="717"/>
      <c r="S36" s="2468" t="s">
        <v>414</v>
      </c>
      <c r="T36" s="2468"/>
      <c r="U36" s="2468"/>
      <c r="V36" s="2468"/>
      <c r="W36" s="2468"/>
      <c r="X36" s="2468"/>
      <c r="Y36" s="2468"/>
      <c r="Z36" s="2468"/>
      <c r="AA36" s="2468"/>
      <c r="AB36" s="2468"/>
      <c r="AC36" s="2468"/>
      <c r="AD36" s="2468"/>
      <c r="AE36" s="2468"/>
      <c r="AF36" s="2468"/>
      <c r="AG36" s="2468"/>
      <c r="AH36" s="2468"/>
      <c r="AI36" s="2468"/>
      <c r="AJ36" s="4199" t="s">
        <v>414</v>
      </c>
      <c r="AK36" s="4199"/>
      <c r="AL36" s="4199"/>
      <c r="AM36" s="4199"/>
      <c r="AN36" s="4199"/>
      <c r="AO36" s="4199"/>
      <c r="AP36" s="4199"/>
      <c r="AQ36" s="7155" t="s">
        <v>414</v>
      </c>
      <c r="AR36" s="7155"/>
      <c r="AS36" s="7155"/>
      <c r="AT36" s="7155"/>
      <c r="AU36" s="7155"/>
      <c r="AV36" s="7155"/>
      <c r="AW36" s="7155"/>
      <c r="AX36" s="7155" t="s">
        <v>414</v>
      </c>
      <c r="AY36" s="7155"/>
      <c r="AZ36" s="7155"/>
      <c r="BA36" s="7155"/>
      <c r="BB36" s="7155"/>
      <c r="BC36" s="7155"/>
      <c r="BD36" s="7155"/>
      <c r="BE36" s="7155" t="s">
        <v>414</v>
      </c>
      <c r="BF36" s="7155"/>
      <c r="BG36" s="7155"/>
      <c r="BH36" s="7155"/>
      <c r="BI36" s="7155"/>
      <c r="BJ36" s="7155"/>
      <c r="BK36" s="7155"/>
      <c r="BL36" s="2468"/>
      <c r="BM36" s="2468"/>
      <c r="BS36" s="1496"/>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4200" t="s">
        <v>541</v>
      </c>
      <c r="AK37" s="4201"/>
      <c r="AL37" s="4201"/>
      <c r="AM37" s="4201"/>
      <c r="AN37" s="4201"/>
      <c r="AO37" s="4202"/>
      <c r="AP37" s="4203" t="s">
        <v>542</v>
      </c>
      <c r="AQ37" s="7160" t="s">
        <v>541</v>
      </c>
      <c r="AR37" s="7161"/>
      <c r="AS37" s="7161"/>
      <c r="AT37" s="7161"/>
      <c r="AU37" s="7161"/>
      <c r="AV37" s="7162"/>
      <c r="AW37" s="7163" t="s">
        <v>542</v>
      </c>
      <c r="AX37" s="7160" t="s">
        <v>541</v>
      </c>
      <c r="AY37" s="7161"/>
      <c r="AZ37" s="7161"/>
      <c r="BA37" s="7161"/>
      <c r="BB37" s="7161"/>
      <c r="BC37" s="7162"/>
      <c r="BD37" s="7163" t="s">
        <v>542</v>
      </c>
      <c r="BE37" s="7160" t="s">
        <v>541</v>
      </c>
      <c r="BF37" s="7161"/>
      <c r="BG37" s="7161"/>
      <c r="BH37" s="7161"/>
      <c r="BI37" s="7161"/>
      <c r="BJ37" s="7162"/>
      <c r="BK37" s="7163" t="s">
        <v>542</v>
      </c>
      <c r="BL37" s="2621" t="s">
        <v>544</v>
      </c>
      <c r="BM37" s="2468"/>
      <c r="BS37" s="1496">
        <v>14</v>
      </c>
    </row>
    <row customHeight="1" ht="35.699999999999996">
      <c r="Q38" s="717"/>
      <c r="R38" s="717"/>
      <c r="S38" s="2614"/>
      <c r="T38" s="2550"/>
      <c r="U38" s="1372"/>
      <c r="V38" s="1693" t="s">
        <v>600</v>
      </c>
      <c r="W38" s="2603" t="s">
        <v>547</v>
      </c>
      <c r="X38" s="2604"/>
      <c r="Y38" s="2603" t="s">
        <v>548</v>
      </c>
      <c r="Z38" s="2610"/>
      <c r="AA38" s="2604"/>
      <c r="AB38" s="2619"/>
      <c r="AC38" s="1693" t="s">
        <v>600</v>
      </c>
      <c r="AD38" s="2603" t="s">
        <v>547</v>
      </c>
      <c r="AE38" s="2604"/>
      <c r="AF38" s="2603" t="s">
        <v>548</v>
      </c>
      <c r="AG38" s="2610"/>
      <c r="AH38" s="2604"/>
      <c r="AI38" s="2619"/>
      <c r="AJ38" s="4205" t="s">
        <v>600</v>
      </c>
      <c r="AK38" s="4206" t="s">
        <v>547</v>
      </c>
      <c r="AL38" s="4207"/>
      <c r="AM38" s="4206" t="s">
        <v>548</v>
      </c>
      <c r="AN38" s="4208"/>
      <c r="AO38" s="4207"/>
      <c r="AP38" s="4209"/>
      <c r="AQ38" s="7170" t="s">
        <v>600</v>
      </c>
      <c r="AR38" s="7171" t="s">
        <v>547</v>
      </c>
      <c r="AS38" s="7172"/>
      <c r="AT38" s="7171" t="s">
        <v>548</v>
      </c>
      <c r="AU38" s="7173"/>
      <c r="AV38" s="7172"/>
      <c r="AW38" s="7174"/>
      <c r="AX38" s="7170" t="s">
        <v>600</v>
      </c>
      <c r="AY38" s="7171" t="s">
        <v>547</v>
      </c>
      <c r="AZ38" s="7172"/>
      <c r="BA38" s="7171" t="s">
        <v>548</v>
      </c>
      <c r="BB38" s="7173"/>
      <c r="BC38" s="7172"/>
      <c r="BD38" s="7174"/>
      <c r="BE38" s="7170" t="s">
        <v>600</v>
      </c>
      <c r="BF38" s="7171" t="s">
        <v>547</v>
      </c>
      <c r="BG38" s="7172"/>
      <c r="BH38" s="7171" t="s">
        <v>548</v>
      </c>
      <c r="BI38" s="7173"/>
      <c r="BJ38" s="7172"/>
      <c r="BK38" s="7174"/>
      <c r="BL38" s="2622"/>
      <c r="BM38" s="2468"/>
      <c r="BS38" s="1496">
        <v>34</v>
      </c>
    </row>
    <row customHeight="1" ht="35.699999999999996">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693" t="s">
        <v>603</v>
      </c>
      <c r="W39" s="1563" t="s">
        <v>604</v>
      </c>
      <c r="X39" s="1563" t="s">
        <v>605</v>
      </c>
      <c r="Y39" s="1698" t="s">
        <v>558</v>
      </c>
      <c r="Z39" s="2611" t="s">
        <v>559</v>
      </c>
      <c r="AA39" s="2612"/>
      <c r="AB39" s="2620"/>
      <c r="AC39" s="1693" t="s">
        <v>603</v>
      </c>
      <c r="AD39" s="1563" t="s">
        <v>604</v>
      </c>
      <c r="AE39" s="1563" t="s">
        <v>605</v>
      </c>
      <c r="AF39" s="1698" t="s">
        <v>558</v>
      </c>
      <c r="AG39" s="2611" t="s">
        <v>559</v>
      </c>
      <c r="AH39" s="2612"/>
      <c r="AI39" s="2620"/>
      <c r="AJ39" s="4205" t="s">
        <v>603</v>
      </c>
      <c r="AK39" s="4211" t="s">
        <v>604</v>
      </c>
      <c r="AL39" s="4211" t="s">
        <v>605</v>
      </c>
      <c r="AM39" s="4211" t="s">
        <v>558</v>
      </c>
      <c r="AN39" s="4212" t="s">
        <v>559</v>
      </c>
      <c r="AO39" s="4213"/>
      <c r="AP39" s="4214"/>
      <c r="AQ39" s="7170" t="s">
        <v>603</v>
      </c>
      <c r="AR39" s="7180" t="s">
        <v>604</v>
      </c>
      <c r="AS39" s="7180" t="s">
        <v>605</v>
      </c>
      <c r="AT39" s="7180" t="s">
        <v>558</v>
      </c>
      <c r="AU39" s="7181" t="s">
        <v>559</v>
      </c>
      <c r="AV39" s="7182"/>
      <c r="AW39" s="7183"/>
      <c r="AX39" s="7170" t="s">
        <v>603</v>
      </c>
      <c r="AY39" s="7180" t="s">
        <v>604</v>
      </c>
      <c r="AZ39" s="7180" t="s">
        <v>605</v>
      </c>
      <c r="BA39" s="7180" t="s">
        <v>558</v>
      </c>
      <c r="BB39" s="7181" t="s">
        <v>559</v>
      </c>
      <c r="BC39" s="7182"/>
      <c r="BD39" s="7183"/>
      <c r="BE39" s="7170" t="s">
        <v>603</v>
      </c>
      <c r="BF39" s="7180" t="s">
        <v>604</v>
      </c>
      <c r="BG39" s="7180" t="s">
        <v>605</v>
      </c>
      <c r="BH39" s="7180" t="s">
        <v>558</v>
      </c>
      <c r="BI39" s="7181" t="s">
        <v>559</v>
      </c>
      <c r="BJ39" s="7182"/>
      <c r="BK39" s="7183"/>
      <c r="BL39" s="2623"/>
      <c r="BM39" s="2468"/>
      <c r="BS39" s="1496">
        <v>34</v>
      </c>
    </row>
    <row s="22350"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4216">
        <f>OFFSET(AJ40,0,-1)+1</f>
        <v>15</v>
      </c>
      <c r="AK40" s="4216">
        <f>OFFSET(AK40,0,-1)+1</f>
        <v>16</v>
      </c>
      <c r="AL40" s="4216">
        <f>OFFSET(AL40,0,-1)+1</f>
        <v>17</v>
      </c>
      <c r="AM40" s="4216">
        <f>OFFSET(AM40,0,-1)+1</f>
        <v>18</v>
      </c>
      <c r="AN40" s="4216">
        <f>OFFSET(AN40,0,-1)+1</f>
        <v>19</v>
      </c>
      <c r="AO40" s="4216"/>
      <c r="AP40" s="4216">
        <f>OFFSET(AP40,0,-2)+1</f>
        <v>20</v>
      </c>
      <c r="AQ40" s="7186">
        <f>OFFSET(AQ40,0,-1)+1</f>
        <v>21</v>
      </c>
      <c r="AR40" s="7186">
        <f>OFFSET(AR40,0,-1)+1</f>
        <v>22</v>
      </c>
      <c r="AS40" s="7186">
        <f>OFFSET(AS40,0,-1)+1</f>
        <v>23</v>
      </c>
      <c r="AT40" s="7186">
        <f>OFFSET(AT40,0,-1)+1</f>
        <v>24</v>
      </c>
      <c r="AU40" s="7186">
        <f>OFFSET(AU40,0,-1)+1</f>
        <v>25</v>
      </c>
      <c r="AV40" s="7186"/>
      <c r="AW40" s="7186">
        <f>OFFSET(AW40,0,-2)+1</f>
        <v>26</v>
      </c>
      <c r="AX40" s="7186">
        <f>OFFSET(AX40,0,-1)+1</f>
        <v>27</v>
      </c>
      <c r="AY40" s="7186">
        <f>OFFSET(AY40,0,-1)+1</f>
        <v>28</v>
      </c>
      <c r="AZ40" s="7186">
        <f>OFFSET(AZ40,0,-1)+1</f>
        <v>29</v>
      </c>
      <c r="BA40" s="7186">
        <f>OFFSET(BA40,0,-1)+1</f>
        <v>30</v>
      </c>
      <c r="BB40" s="7186">
        <f>OFFSET(BB40,0,-1)+1</f>
        <v>31</v>
      </c>
      <c r="BC40" s="7186"/>
      <c r="BD40" s="7186">
        <f>OFFSET(BD40,0,-2)+1</f>
        <v>32</v>
      </c>
      <c r="BE40" s="7186">
        <f>OFFSET(BE40,0,-1)+1</f>
        <v>33</v>
      </c>
      <c r="BF40" s="7186">
        <f>OFFSET(BF40,0,-1)+1</f>
        <v>34</v>
      </c>
      <c r="BG40" s="7186">
        <f>OFFSET(BG40,0,-1)+1</f>
        <v>35</v>
      </c>
      <c r="BH40" s="7186">
        <f>OFFSET(BH40,0,-1)+1</f>
        <v>36</v>
      </c>
      <c r="BI40" s="7186">
        <f>OFFSET(BI40,0,-1)+1</f>
        <v>37</v>
      </c>
      <c r="BJ40" s="7186"/>
      <c r="BK40" s="7186">
        <f>OFFSET(BK40,0,-2)+1</f>
        <v>38</v>
      </c>
      <c r="BL40" s="1586">
        <f>OFFSET(BL40,0,-1)</f>
        <v>38</v>
      </c>
      <c r="BM40" s="1694">
        <f>OFFSET(BM40,0,-1)+1</f>
        <v>39</v>
      </c>
      <c r="BN40" s="852"/>
      <c r="BO40" s="852"/>
      <c r="BP40" s="852"/>
      <c r="BQ40" s="852"/>
      <c r="BR40" s="852"/>
      <c r="BS40" s="837">
        <v>0</v>
      </c>
    </row>
    <row customHeight="1" ht="24">
      <c r="A41" s="1704" t="s">
        <v>265</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1</v>
      </c>
      <c r="T41" s="639" t="s">
        <v>164</v>
      </c>
      <c r="U41" s="641"/>
      <c r="V41" s="2583"/>
      <c r="W41" s="2584"/>
      <c r="X41" s="2584"/>
      <c r="Y41" s="2584"/>
      <c r="Z41" s="2584"/>
      <c r="AA41" s="2584"/>
      <c r="AB41" s="2585"/>
      <c r="AC41" s="2583" t="str">
        <f>INDEX(PT_DIFFERENTIATION_NTAR,MATCH(A41,PT_DIFFERENTIATION_NTAR_ID,0))</f>
        <v>Тариф на услуги водоснабжения</v>
      </c>
      <c r="AD41" s="2584"/>
      <c r="AE41" s="2584"/>
      <c r="AF41" s="2584"/>
      <c r="AG41" s="2584"/>
      <c r="AH41" s="2584"/>
      <c r="AI41" s="2584"/>
      <c r="AJ41" s="4132"/>
      <c r="AK41" s="4133"/>
      <c r="AL41" s="4133"/>
      <c r="AM41" s="4133"/>
      <c r="AN41" s="4133"/>
      <c r="AO41" s="4133"/>
      <c r="AP41" s="4134"/>
      <c r="AQ41" s="7000"/>
      <c r="AR41" s="7001"/>
      <c r="AS41" s="7001"/>
      <c r="AT41" s="7001"/>
      <c r="AU41" s="7001"/>
      <c r="AV41" s="7001"/>
      <c r="AW41" s="7002"/>
      <c r="AX41" s="7000"/>
      <c r="AY41" s="7001"/>
      <c r="AZ41" s="7001"/>
      <c r="BA41" s="7001"/>
      <c r="BB41" s="7001"/>
      <c r="BC41" s="7001"/>
      <c r="BD41" s="7002"/>
      <c r="BE41" s="7000"/>
      <c r="BF41" s="7001"/>
      <c r="BG41" s="7001"/>
      <c r="BH41" s="7001"/>
      <c r="BI41" s="7001"/>
      <c r="BJ41" s="7001"/>
      <c r="BK41" s="7002"/>
      <c r="BL41" s="2585"/>
      <c r="BM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841"/>
      <c r="BP41" s="841" t="str">
        <f>IF(T41="","",T41)</f>
        <v>Наименование тарифа</v>
      </c>
      <c r="BQ41" s="841"/>
      <c r="BR41" s="841"/>
      <c r="BS41" s="1496">
        <v>23</v>
      </c>
    </row>
    <row customHeight="1" ht="24">
      <c r="A42" s="1704" t="s">
        <v>265</v>
      </c>
      <c r="B42" s="1704" t="s">
        <v>266</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1.1</v>
      </c>
      <c r="T42" s="649" t="s">
        <v>511</v>
      </c>
      <c r="U42" s="641"/>
      <c r="V42" s="2583"/>
      <c r="W42" s="2584"/>
      <c r="X42" s="2584"/>
      <c r="Y42" s="2584"/>
      <c r="Z42" s="2584"/>
      <c r="AA42" s="2584"/>
      <c r="AB42" s="2585"/>
      <c r="AC42" s="2583" t="str">
        <f>INDEX(PT_DIFFERENTIATION_TER,MATCH(B42,PT_DIFFERENTIATION_TER_ID,0))</f>
        <v>Территория 1</v>
      </c>
      <c r="AD42" s="2584"/>
      <c r="AE42" s="2584"/>
      <c r="AF42" s="2584"/>
      <c r="AG42" s="2584"/>
      <c r="AH42" s="2584"/>
      <c r="AI42" s="2584"/>
      <c r="AJ42" s="4132"/>
      <c r="AK42" s="4133"/>
      <c r="AL42" s="4133"/>
      <c r="AM42" s="4133"/>
      <c r="AN42" s="4133"/>
      <c r="AO42" s="4133"/>
      <c r="AP42" s="4134"/>
      <c r="AQ42" s="7000"/>
      <c r="AR42" s="7001"/>
      <c r="AS42" s="7001"/>
      <c r="AT42" s="7001"/>
      <c r="AU42" s="7001"/>
      <c r="AV42" s="7001"/>
      <c r="AW42" s="7002"/>
      <c r="AX42" s="7000"/>
      <c r="AY42" s="7001"/>
      <c r="AZ42" s="7001"/>
      <c r="BA42" s="7001"/>
      <c r="BB42" s="7001"/>
      <c r="BC42" s="7001"/>
      <c r="BD42" s="7002"/>
      <c r="BE42" s="7000"/>
      <c r="BF42" s="7001"/>
      <c r="BG42" s="7001"/>
      <c r="BH42" s="7001"/>
      <c r="BI42" s="7001"/>
      <c r="BJ42" s="7001"/>
      <c r="BK42" s="7002"/>
      <c r="BL42" s="2585"/>
      <c r="BM42" s="1599" t="s">
        <v>512</v>
      </c>
      <c r="BO42" s="841"/>
      <c r="BP42" s="841" t="str">
        <f>IF(T42="","",T42)</f>
        <v>Территория действия тарифа</v>
      </c>
      <c r="BQ42" s="841"/>
      <c r="BR42" s="841"/>
      <c r="BS42" s="1496">
        <v>23</v>
      </c>
    </row>
    <row customHeight="1" ht="24">
      <c r="A43" s="1704" t="s">
        <v>265</v>
      </c>
      <c r="B43" s="1704" t="s">
        <v>266</v>
      </c>
      <c r="C43" s="1704" t="s">
        <v>267</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1.1.1</v>
      </c>
      <c r="T43" s="650" t="s">
        <v>592</v>
      </c>
      <c r="U43" s="641"/>
      <c r="V43" s="2583"/>
      <c r="W43" s="2584"/>
      <c r="X43" s="2584"/>
      <c r="Y43" s="2584"/>
      <c r="Z43" s="2584"/>
      <c r="AA43" s="2584"/>
      <c r="AB43" s="2585"/>
      <c r="AC43" s="2583" t="str">
        <f>INDEX(PT_DIFFERENTIATION_CS,MATCH(C43,PT_DIFFERENTIATION_CS_ID,0))</f>
        <v>с. Барабаш, с. Занадворовка</v>
      </c>
      <c r="AD43" s="2584"/>
      <c r="AE43" s="2584"/>
      <c r="AF43" s="2584"/>
      <c r="AG43" s="2584"/>
      <c r="AH43" s="2584"/>
      <c r="AI43" s="2584"/>
      <c r="AJ43" s="4132"/>
      <c r="AK43" s="4133"/>
      <c r="AL43" s="4133"/>
      <c r="AM43" s="4133"/>
      <c r="AN43" s="4133"/>
      <c r="AO43" s="4133"/>
      <c r="AP43" s="4134"/>
      <c r="AQ43" s="7000"/>
      <c r="AR43" s="7001"/>
      <c r="AS43" s="7001"/>
      <c r="AT43" s="7001"/>
      <c r="AU43" s="7001"/>
      <c r="AV43" s="7001"/>
      <c r="AW43" s="7002"/>
      <c r="AX43" s="7000"/>
      <c r="AY43" s="7001"/>
      <c r="AZ43" s="7001"/>
      <c r="BA43" s="7001"/>
      <c r="BB43" s="7001"/>
      <c r="BC43" s="7001"/>
      <c r="BD43" s="7002"/>
      <c r="BE43" s="7000"/>
      <c r="BF43" s="7001"/>
      <c r="BG43" s="7001"/>
      <c r="BH43" s="7001"/>
      <c r="BI43" s="7001"/>
      <c r="BJ43" s="7001"/>
      <c r="BK43" s="7002"/>
      <c r="BL43" s="2585"/>
      <c r="BM43" s="1599" t="s">
        <v>593</v>
      </c>
      <c r="BO43" s="841"/>
      <c r="BP43" s="841" t="str">
        <f>IF(T43="","",T43)</f>
        <v>Наименование централизованной системы холодного водоснабжения</v>
      </c>
      <c r="BQ43" s="841"/>
      <c r="BR43" s="841"/>
      <c r="BS43" s="1496">
        <v>23</v>
      </c>
    </row>
    <row customHeight="1" ht="24">
      <c r="A44" s="1704" t="s">
        <v>265</v>
      </c>
      <c r="B44" s="1704" t="s">
        <v>266</v>
      </c>
      <c r="C44" s="1704" t="s">
        <v>267</v>
      </c>
      <c r="D44" s="1704" t="s">
        <v>606</v>
      </c>
      <c r="E44" s="2600"/>
      <c r="F44" s="2600"/>
      <c r="G44" s="2600"/>
      <c r="H44" s="2600"/>
      <c r="I44" s="2597" t="str">
        <f>S43&amp;".1"</f>
        <v>1.1.1.1</v>
      </c>
      <c r="J44" s="1704"/>
      <c r="K44" s="1704"/>
      <c r="L44" s="1705"/>
      <c r="P44" s="2598">
        <v>1</v>
      </c>
      <c r="Q44" s="1695"/>
      <c r="R44" s="697"/>
      <c r="S44" s="1699" t="str">
        <f>$I44</f>
        <v>1.1.1.1</v>
      </c>
      <c r="T44" s="626" t="s">
        <v>594</v>
      </c>
      <c r="U44" s="641"/>
      <c r="V44" s="2691"/>
      <c r="W44" s="2692"/>
      <c r="X44" s="2692"/>
      <c r="Y44" s="2692"/>
      <c r="Z44" s="2692"/>
      <c r="AA44" s="2692"/>
      <c r="AB44" s="2693"/>
      <c r="AC44" s="2694"/>
      <c r="AD44" s="2695"/>
      <c r="AE44" s="2695"/>
      <c r="AF44" s="2695"/>
      <c r="AG44" s="2695"/>
      <c r="AH44" s="2695"/>
      <c r="AI44" s="2695"/>
      <c r="AJ44" s="4142"/>
      <c r="AK44" s="4143"/>
      <c r="AL44" s="4143"/>
      <c r="AM44" s="4143"/>
      <c r="AN44" s="4143"/>
      <c r="AO44" s="4143"/>
      <c r="AP44" s="4144"/>
      <c r="AQ44" s="7013"/>
      <c r="AR44" s="7014"/>
      <c r="AS44" s="7014"/>
      <c r="AT44" s="7014"/>
      <c r="AU44" s="7014"/>
      <c r="AV44" s="7014"/>
      <c r="AW44" s="7015"/>
      <c r="AX44" s="7013"/>
      <c r="AY44" s="7014"/>
      <c r="AZ44" s="7014"/>
      <c r="BA44" s="7014"/>
      <c r="BB44" s="7014"/>
      <c r="BC44" s="7014"/>
      <c r="BD44" s="7015"/>
      <c r="BE44" s="7013"/>
      <c r="BF44" s="7014"/>
      <c r="BG44" s="7014"/>
      <c r="BH44" s="7014"/>
      <c r="BI44" s="7014"/>
      <c r="BJ44" s="7014"/>
      <c r="BK44" s="7015"/>
      <c r="BL44" s="2696"/>
      <c r="BM44" s="1599" t="s">
        <v>595</v>
      </c>
      <c r="BO44" s="841"/>
      <c r="BP44" s="841" t="str">
        <f>IF(T44="","",T44)</f>
        <v>Наименование признака дифференциации</v>
      </c>
      <c r="BQ44" s="841"/>
      <c r="BR44" s="841"/>
      <c r="BS44" s="1496">
        <v>23</v>
      </c>
    </row>
    <row customHeight="1" ht="24">
      <c r="A45" s="1704" t="s">
        <v>265</v>
      </c>
      <c r="B45" s="1704" t="s">
        <v>266</v>
      </c>
      <c r="C45" s="1704" t="s">
        <v>267</v>
      </c>
      <c r="D45" s="1704" t="s">
        <v>606</v>
      </c>
      <c r="E45" s="2600"/>
      <c r="F45" s="2600"/>
      <c r="G45" s="2600"/>
      <c r="H45" s="2600"/>
      <c r="I45" s="2627"/>
      <c r="J45" s="2597" t="str">
        <f>I44&amp;".1"</f>
        <v>1.1.1.1.1</v>
      </c>
      <c r="K45" s="1704"/>
      <c r="L45" s="1705" t="s">
        <v>520</v>
      </c>
      <c r="P45" s="2598"/>
      <c r="Q45" s="2598">
        <v>1</v>
      </c>
      <c r="R45" s="698"/>
      <c r="S45" s="1699" t="str">
        <f>$J45</f>
        <v>1.1.1.1.1</v>
      </c>
      <c r="T45" s="627" t="s">
        <v>521</v>
      </c>
      <c r="U45" s="641"/>
      <c r="V45" s="2586"/>
      <c r="W45" s="2587"/>
      <c r="X45" s="2587"/>
      <c r="Y45" s="2587"/>
      <c r="Z45" s="2587"/>
      <c r="AA45" s="2587"/>
      <c r="AB45" s="2588"/>
      <c r="AC45" s="2586" t="s">
        <v>607</v>
      </c>
      <c r="AD45" s="2587"/>
      <c r="AE45" s="2587"/>
      <c r="AF45" s="2587"/>
      <c r="AG45" s="2587"/>
      <c r="AH45" s="2587"/>
      <c r="AI45" s="2587"/>
      <c r="AJ45" s="4146"/>
      <c r="AK45" s="4147"/>
      <c r="AL45" s="4147"/>
      <c r="AM45" s="4147"/>
      <c r="AN45" s="4147"/>
      <c r="AO45" s="4147"/>
      <c r="AP45" s="4148"/>
      <c r="AQ45" s="7020"/>
      <c r="AR45" s="7021"/>
      <c r="AS45" s="7021"/>
      <c r="AT45" s="7021"/>
      <c r="AU45" s="7021"/>
      <c r="AV45" s="7021"/>
      <c r="AW45" s="7022"/>
      <c r="AX45" s="7020"/>
      <c r="AY45" s="7021"/>
      <c r="AZ45" s="7021"/>
      <c r="BA45" s="7021"/>
      <c r="BB45" s="7021"/>
      <c r="BC45" s="7021"/>
      <c r="BD45" s="7022"/>
      <c r="BE45" s="7020"/>
      <c r="BF45" s="7021"/>
      <c r="BG45" s="7021"/>
      <c r="BH45" s="7021"/>
      <c r="BI45" s="7021"/>
      <c r="BJ45" s="7021"/>
      <c r="BK45" s="7022"/>
      <c r="BL45" s="2588"/>
      <c r="BM45" s="1648" t="s">
        <v>596</v>
      </c>
      <c r="BO45" s="841"/>
      <c r="BP45" s="841" t="str">
        <f>IF(T45="","",T45)</f>
        <v>Группа потребителей</v>
      </c>
      <c r="BQ45" s="841"/>
      <c r="BR45" s="841"/>
      <c r="BS45" s="1496">
        <v>23</v>
      </c>
    </row>
    <row customHeight="1" ht="24">
      <c r="A46" s="1704" t="s">
        <v>265</v>
      </c>
      <c r="B46" s="1704" t="s">
        <v>266</v>
      </c>
      <c r="C46" s="1704" t="s">
        <v>267</v>
      </c>
      <c r="D46" s="1704" t="s">
        <v>606</v>
      </c>
      <c r="E46" s="2600"/>
      <c r="F46" s="2600"/>
      <c r="G46" s="2600"/>
      <c r="H46" s="2600"/>
      <c r="I46" s="2627"/>
      <c r="J46" s="2627"/>
      <c r="K46" s="2597" t="str">
        <f>J45&amp;".1"</f>
        <v>1.1.1.1.1.1</v>
      </c>
      <c r="L46" s="1705"/>
      <c r="P46" s="2598"/>
      <c r="Q46" s="2598"/>
      <c r="R46" s="698">
        <v>1</v>
      </c>
      <c r="S46" s="1699" t="str">
        <f>$K46</f>
        <v>1.1.1.1.1.1</v>
      </c>
      <c r="T46" s="1778" t="s">
        <v>590</v>
      </c>
      <c r="U46" s="641"/>
      <c r="V46" s="16708"/>
      <c r="W46" s="16708"/>
      <c r="X46" s="16709"/>
      <c r="Y46" s="16710"/>
      <c r="Z46" s="16711" t="s">
        <v>66</v>
      </c>
      <c r="AA46" s="16710"/>
      <c r="AB46" s="16711" t="s">
        <v>66</v>
      </c>
      <c r="AC46" s="1092">
        <v>36.27</v>
      </c>
      <c r="AD46" s="1092"/>
      <c r="AE46" s="1598"/>
      <c r="AF46" s="4152">
        <v>45658.59355324074</v>
      </c>
      <c r="AG46" s="2448" t="s">
        <v>66</v>
      </c>
      <c r="AH46" s="16712">
        <v>46022.59392361111</v>
      </c>
      <c r="AI46" s="2448" t="s">
        <v>66</v>
      </c>
      <c r="AJ46" s="4150">
        <v>33.9</v>
      </c>
      <c r="AK46" s="4150"/>
      <c r="AL46" s="4151"/>
      <c r="AM46" s="4152">
        <v>46023.59538194445</v>
      </c>
      <c r="AN46" s="4153" t="s">
        <v>66</v>
      </c>
      <c r="AO46" s="4220">
        <v>46387.59556712963</v>
      </c>
      <c r="AP46" s="4153" t="s">
        <v>66</v>
      </c>
      <c r="AQ46" s="7028">
        <v>34.88</v>
      </c>
      <c r="AR46" s="7028"/>
      <c r="AS46" s="7029"/>
      <c r="AT46" s="7030">
        <v>46388.65938657407</v>
      </c>
      <c r="AU46" s="7031" t="s">
        <v>66</v>
      </c>
      <c r="AV46" s="7191">
        <v>46752.65967592593</v>
      </c>
      <c r="AW46" s="7031" t="s">
        <v>66</v>
      </c>
      <c r="AX46" s="7028">
        <v>35.89</v>
      </c>
      <c r="AY46" s="7028"/>
      <c r="AZ46" s="7029"/>
      <c r="BA46" s="7030">
        <v>46753.65998842593</v>
      </c>
      <c r="BB46" s="7031" t="s">
        <v>66</v>
      </c>
      <c r="BC46" s="7191">
        <v>47118.66012731481</v>
      </c>
      <c r="BD46" s="7031" t="s">
        <v>19</v>
      </c>
      <c r="BE46" s="16708"/>
      <c r="BF46" s="16708"/>
      <c r="BG46" s="16709"/>
      <c r="BH46" s="16710"/>
      <c r="BI46" s="16711" t="s">
        <v>66</v>
      </c>
      <c r="BJ46" s="16710"/>
      <c r="BK46" s="16711" t="s">
        <v>66</v>
      </c>
      <c r="BL46" s="1779"/>
      <c r="BM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852">
        <f>STRCHECKDATE(V47:BL47)</f>
      </c>
      <c r="BO46" s="841"/>
      <c r="BP46" s="841" t="str">
        <f>IF(T46="","",T46)</f>
        <v>без НДС</v>
      </c>
      <c r="BQ46" s="841"/>
      <c r="BR46" s="841"/>
      <c r="BS46" s="1496">
        <v>23</v>
      </c>
    </row>
    <row customHeight="1" ht="0">
      <c r="A47" s="1704" t="s">
        <v>265</v>
      </c>
      <c r="B47" s="1704" t="s">
        <v>266</v>
      </c>
      <c r="C47" s="1704" t="s">
        <v>267</v>
      </c>
      <c r="D47" s="1704" t="s">
        <v>606</v>
      </c>
      <c r="E47" s="2600"/>
      <c r="F47" s="2600"/>
      <c r="G47" s="2600"/>
      <c r="H47" s="2600"/>
      <c r="I47" s="2627"/>
      <c r="J47" s="2627"/>
      <c r="K47" s="2597"/>
      <c r="L47" s="1705"/>
      <c r="P47" s="2598"/>
      <c r="Q47" s="2598"/>
      <c r="R47" s="698"/>
      <c r="S47" s="1700"/>
      <c r="T47" s="641"/>
      <c r="U47" s="641"/>
      <c r="V47" s="16708"/>
      <c r="W47" s="16708"/>
      <c r="X47" s="16716" t="str">
        <f>Y46&amp;"-"&amp;AA46</f>
        <v>-</v>
      </c>
      <c r="Y47" s="16711"/>
      <c r="Z47" s="16711"/>
      <c r="AA47" s="16711"/>
      <c r="AB47" s="16711"/>
      <c r="AC47" s="666"/>
      <c r="AD47" s="666"/>
      <c r="AE47" s="669" t="str">
        <f>AF46&amp;"-"&amp;AH46</f>
        <v>45658.59355324074-46022.59392361111</v>
      </c>
      <c r="AF47" s="2607"/>
      <c r="AG47" s="2448"/>
      <c r="AH47" s="2629"/>
      <c r="AI47" s="2448"/>
      <c r="AJ47" s="4157"/>
      <c r="AK47" s="4157"/>
      <c r="AL47" s="4158" t="str">
        <f>AM46&amp;"-"&amp;AO46</f>
        <v>46023.59538194445-46387.59556712963</v>
      </c>
      <c r="AM47" s="4159"/>
      <c r="AN47" s="4153"/>
      <c r="AO47" s="4222"/>
      <c r="AP47" s="4153"/>
      <c r="AQ47" s="7038"/>
      <c r="AR47" s="7038"/>
      <c r="AS47" s="7039" t="str">
        <f>AT46&amp;"-"&amp;AV46</f>
        <v>46388.65938657407-46752.65967592593</v>
      </c>
      <c r="AT47" s="7040"/>
      <c r="AU47" s="7031"/>
      <c r="AV47" s="7194"/>
      <c r="AW47" s="7031"/>
      <c r="AX47" s="7038"/>
      <c r="AY47" s="7038"/>
      <c r="AZ47" s="7039" t="str">
        <f>BA46&amp;"-"&amp;BC46</f>
        <v>46753.65998842593-47118.66012731481</v>
      </c>
      <c r="BA47" s="7040"/>
      <c r="BB47" s="7031"/>
      <c r="BC47" s="7194"/>
      <c r="BD47" s="7031"/>
      <c r="BE47" s="16708"/>
      <c r="BF47" s="16708"/>
      <c r="BG47" s="16716" t="str">
        <f>BH46&amp;"-"&amp;BJ46</f>
        <v>-</v>
      </c>
      <c r="BH47" s="16711"/>
      <c r="BI47" s="16711"/>
      <c r="BJ47" s="16711"/>
      <c r="BK47" s="16711"/>
      <c r="BL47" s="1780"/>
      <c r="BM47" s="2690"/>
      <c r="BO47" s="841"/>
      <c r="BP47" s="841" t="str">
        <f>IF(T47="","",T47)</f>
        <v/>
      </c>
      <c r="BQ47" s="841"/>
      <c r="BR47" s="841"/>
      <c r="BS47" s="1496">
        <v>0</v>
      </c>
    </row>
    <row customHeight="1" ht="21">
      <c r="A48" s="1704" t="s">
        <v>265</v>
      </c>
      <c r="B48" s="1704" t="s">
        <v>266</v>
      </c>
      <c r="C48" s="1704" t="s">
        <v>267</v>
      </c>
      <c r="D48" s="1704" t="s">
        <v>606</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4223"/>
      <c r="AK48" s="4224"/>
      <c r="AL48" s="4225"/>
      <c r="AM48" s="4226"/>
      <c r="AN48" s="4227"/>
      <c r="AO48" s="4228"/>
      <c r="AP48" s="4229"/>
      <c r="AQ48" s="7202"/>
      <c r="AR48" s="7203"/>
      <c r="AS48" s="7204"/>
      <c r="AT48" s="7205"/>
      <c r="AU48" s="7206"/>
      <c r="AV48" s="7207"/>
      <c r="AW48" s="7208"/>
      <c r="AX48" s="7209"/>
      <c r="AY48" s="7210"/>
      <c r="AZ48" s="7211"/>
      <c r="BA48" s="7212"/>
      <c r="BB48" s="7213"/>
      <c r="BC48" s="7214"/>
      <c r="BD48" s="7215"/>
      <c r="BE48" s="7216"/>
      <c r="BF48" s="7217"/>
      <c r="BG48" s="7218"/>
      <c r="BH48" s="7219"/>
      <c r="BI48" s="7220"/>
      <c r="BJ48" s="7221"/>
      <c r="BK48" s="7222"/>
      <c r="BL48" s="708"/>
      <c r="BM48" s="1599" t="s">
        <v>598</v>
      </c>
      <c r="BO48" s="841"/>
      <c r="BP48" s="841" t="str">
        <f>IF(T48="","",T48)</f>
        <v>Добавить значение признака дифференциации</v>
      </c>
      <c r="BQ48" s="841"/>
      <c r="BR48" s="841"/>
      <c r="BS48" s="1496">
        <v>20</v>
      </c>
    </row>
    <row customHeight="1" ht="22.049999999999997">
      <c r="A49" s="1704" t="s">
        <v>265</v>
      </c>
      <c r="B49" s="1704" t="s">
        <v>266</v>
      </c>
      <c r="C49" s="1704" t="s">
        <v>267</v>
      </c>
      <c r="D49" s="1704" t="s">
        <v>606</v>
      </c>
      <c r="E49" s="2600"/>
      <c r="F49" s="2600"/>
      <c r="G49" s="2600"/>
      <c r="H49" s="2600"/>
      <c r="I49" s="2597"/>
      <c r="J49" s="1704"/>
      <c r="K49" s="1704"/>
      <c r="L49" s="1705"/>
      <c r="P49" s="2598"/>
      <c r="Q49" s="1695"/>
      <c r="R49" s="697"/>
      <c r="S49" s="1619"/>
      <c r="T49" s="706" t="s">
        <v>526</v>
      </c>
      <c r="U49" s="708"/>
      <c r="V49" s="708"/>
      <c r="W49" s="708"/>
      <c r="X49" s="708"/>
      <c r="Y49" s="708"/>
      <c r="Z49" s="708"/>
      <c r="AA49" s="708"/>
      <c r="AB49" s="707"/>
      <c r="AC49" s="708"/>
      <c r="AD49" s="708"/>
      <c r="AE49" s="708"/>
      <c r="AF49" s="708"/>
      <c r="AG49" s="708"/>
      <c r="AH49" s="708"/>
      <c r="AI49" s="707"/>
      <c r="AJ49" s="4230"/>
      <c r="AK49" s="4231"/>
      <c r="AL49" s="4232"/>
      <c r="AM49" s="4233"/>
      <c r="AN49" s="4234"/>
      <c r="AO49" s="4235"/>
      <c r="AP49" s="4236"/>
      <c r="AQ49" s="7230"/>
      <c r="AR49" s="7231"/>
      <c r="AS49" s="7232"/>
      <c r="AT49" s="7233"/>
      <c r="AU49" s="7234"/>
      <c r="AV49" s="7235"/>
      <c r="AW49" s="7236"/>
      <c r="AX49" s="7237"/>
      <c r="AY49" s="7238"/>
      <c r="AZ49" s="7239"/>
      <c r="BA49" s="7240"/>
      <c r="BB49" s="7241"/>
      <c r="BC49" s="7242"/>
      <c r="BD49" s="7243"/>
      <c r="BE49" s="7244"/>
      <c r="BF49" s="7245"/>
      <c r="BG49" s="7246"/>
      <c r="BH49" s="7247"/>
      <c r="BI49" s="7248"/>
      <c r="BJ49" s="7249"/>
      <c r="BK49" s="7250"/>
      <c r="BL49" s="708"/>
      <c r="BM49" s="1781"/>
      <c r="BO49" s="841"/>
      <c r="BP49" s="841" t="str">
        <f>IF(T49="","",T49)</f>
        <v>Добавить группу потребителей</v>
      </c>
      <c r="BQ49" s="841"/>
      <c r="BR49" s="841"/>
      <c r="BS49" s="1496">
        <v>21</v>
      </c>
    </row>
    <row customHeight="1" ht="22.049999999999997">
      <c r="A50" s="1704" t="s">
        <v>265</v>
      </c>
      <c r="B50" s="1704" t="s">
        <v>266</v>
      </c>
      <c r="C50" s="1704" t="s">
        <v>267</v>
      </c>
      <c r="D50" s="1704" t="s">
        <v>606</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4237"/>
      <c r="AK50" s="4238"/>
      <c r="AL50" s="4239"/>
      <c r="AM50" s="4240"/>
      <c r="AN50" s="4241"/>
      <c r="AO50" s="4242"/>
      <c r="AP50" s="4243"/>
      <c r="AQ50" s="7258"/>
      <c r="AR50" s="7259"/>
      <c r="AS50" s="7260"/>
      <c r="AT50" s="7261"/>
      <c r="AU50" s="7262"/>
      <c r="AV50" s="7263"/>
      <c r="AW50" s="7264"/>
      <c r="AX50" s="7265"/>
      <c r="AY50" s="7266"/>
      <c r="AZ50" s="7267"/>
      <c r="BA50" s="7268"/>
      <c r="BB50" s="7269"/>
      <c r="BC50" s="7270"/>
      <c r="BD50" s="7271"/>
      <c r="BE50" s="7272"/>
      <c r="BF50" s="7273"/>
      <c r="BG50" s="7274"/>
      <c r="BH50" s="7275"/>
      <c r="BI50" s="7276"/>
      <c r="BJ50" s="7277"/>
      <c r="BK50" s="7278"/>
      <c r="BL50" s="708"/>
      <c r="BM50" s="644"/>
      <c r="BO50" s="841"/>
      <c r="BP50" s="841" t="str">
        <f>IF(T50="","",T50)</f>
        <v>Добавить наименование признака дифференциации</v>
      </c>
      <c r="BQ50" s="841"/>
      <c r="BR50" s="841"/>
      <c r="BS50" s="1496">
        <v>21</v>
      </c>
    </row>
    <row s="23070" customFormat="1" customHeight="1" ht="23.25">
      <c r="A51" s="16804"/>
      <c r="B51" s="16804"/>
      <c r="C51" s="16804" t="s">
        <v>269</v>
      </c>
      <c r="D51" s="16804"/>
      <c r="E51" s="16805"/>
      <c r="F51" s="16805"/>
      <c r="G51" s="16806" t="s">
        <v>103</v>
      </c>
      <c r="H51" s="16804"/>
      <c r="I51" s="16804"/>
      <c r="J51" s="16804"/>
      <c r="K51" s="16804"/>
      <c r="L51" s="16807"/>
      <c r="M51" s="16808"/>
      <c r="N51" s="16808"/>
      <c r="O51" s="16808"/>
      <c r="P51" s="16809"/>
      <c r="Q51" s="16810"/>
      <c r="R51" s="16811"/>
      <c r="S51" s="16812" t="str">
        <f>INDEX(PT_DIFFERENTIATION_NUM_CS,MATCH(C51,PT_DIFFERENTIATION_CS_ID,0))</f>
        <v>1.1.2</v>
      </c>
      <c r="T51" s="16813" t="s">
        <v>592</v>
      </c>
      <c r="U51" s="16814"/>
      <c r="V51" s="16815"/>
      <c r="W51" s="16816"/>
      <c r="X51" s="16816"/>
      <c r="Y51" s="16816"/>
      <c r="Z51" s="16816"/>
      <c r="AA51" s="16816"/>
      <c r="AB51" s="16817"/>
      <c r="AC51" s="16815" t="str">
        <f>INDEX(PT_DIFFERENTIATION_CS,MATCH(C51,PT_DIFFERENTIATION_CS_ID,0))</f>
        <v>с. Безверхово, п. Перевозное</v>
      </c>
      <c r="AD51" s="16816"/>
      <c r="AE51" s="16816"/>
      <c r="AF51" s="16816"/>
      <c r="AG51" s="16816"/>
      <c r="AH51" s="16816"/>
      <c r="AI51" s="16816"/>
      <c r="AJ51" s="16815"/>
      <c r="AK51" s="16816"/>
      <c r="AL51" s="16816"/>
      <c r="AM51" s="16816"/>
      <c r="AN51" s="16816"/>
      <c r="AO51" s="16816"/>
      <c r="AP51" s="16817"/>
      <c r="AQ51" s="16815"/>
      <c r="AR51" s="16816"/>
      <c r="AS51" s="16816"/>
      <c r="AT51" s="16816"/>
      <c r="AU51" s="16816"/>
      <c r="AV51" s="16816"/>
      <c r="AW51" s="16817"/>
      <c r="AX51" s="16815"/>
      <c r="AY51" s="16816"/>
      <c r="AZ51" s="16816"/>
      <c r="BA51" s="16816"/>
      <c r="BB51" s="16816"/>
      <c r="BC51" s="16816"/>
      <c r="BD51" s="16817"/>
      <c r="BE51" s="16815"/>
      <c r="BF51" s="16816"/>
      <c r="BG51" s="16816"/>
      <c r="BH51" s="16816"/>
      <c r="BI51" s="16816"/>
      <c r="BJ51" s="16816"/>
      <c r="BK51" s="16817"/>
      <c r="BL51" s="16817"/>
      <c r="BM51" s="16818" t="s">
        <v>593</v>
      </c>
      <c r="BN51" s="16819"/>
      <c r="BO51" s="16820"/>
      <c r="BP51" s="16820" t="str">
        <f>IF(T51="","",T51)</f>
        <v>Наименование централизованной системы холодного водоснабжения</v>
      </c>
      <c r="BQ51" s="16820"/>
      <c r="BR51" s="16820"/>
      <c r="BS51" s="16821">
        <v>0</v>
      </c>
    </row>
    <row s="23089" customFormat="1" customHeight="1" ht="23.25">
      <c r="A52" s="16804"/>
      <c r="B52" s="16804"/>
      <c r="C52" s="16804"/>
      <c r="D52" s="16804"/>
      <c r="E52" s="16805"/>
      <c r="F52" s="16805"/>
      <c r="G52" s="16805">
        <v>1</v>
      </c>
      <c r="H52" s="16805"/>
      <c r="I52" s="16823" t="str">
        <f>S51&amp;".1"</f>
        <v>1.1.2.1</v>
      </c>
      <c r="J52" s="16804"/>
      <c r="K52" s="16804"/>
      <c r="L52" s="16807"/>
      <c r="M52" s="16824"/>
      <c r="N52" s="16824"/>
      <c r="O52" s="16824"/>
      <c r="P52" s="16825">
        <v>1</v>
      </c>
      <c r="Q52" s="16825"/>
      <c r="R52" s="16826"/>
      <c r="S52" s="16812" t="str">
        <f>$I52</f>
        <v>1.1.2.1</v>
      </c>
      <c r="T52" s="16827" t="s">
        <v>594</v>
      </c>
      <c r="U52" s="16814"/>
      <c r="V52" s="16828"/>
      <c r="W52" s="16829"/>
      <c r="X52" s="16829"/>
      <c r="Y52" s="16829"/>
      <c r="Z52" s="16829"/>
      <c r="AA52" s="16829"/>
      <c r="AB52" s="16830"/>
      <c r="AC52" s="16831"/>
      <c r="AD52" s="16832"/>
      <c r="AE52" s="16832"/>
      <c r="AF52" s="16832"/>
      <c r="AG52" s="16832"/>
      <c r="AH52" s="16832"/>
      <c r="AI52" s="16832"/>
      <c r="AJ52" s="16828"/>
      <c r="AK52" s="16829"/>
      <c r="AL52" s="16829"/>
      <c r="AM52" s="16829"/>
      <c r="AN52" s="16829"/>
      <c r="AO52" s="16829"/>
      <c r="AP52" s="16830"/>
      <c r="AQ52" s="16828"/>
      <c r="AR52" s="16829"/>
      <c r="AS52" s="16829"/>
      <c r="AT52" s="16829"/>
      <c r="AU52" s="16829"/>
      <c r="AV52" s="16829"/>
      <c r="AW52" s="16830"/>
      <c r="AX52" s="16828"/>
      <c r="AY52" s="16829"/>
      <c r="AZ52" s="16829"/>
      <c r="BA52" s="16829"/>
      <c r="BB52" s="16829"/>
      <c r="BC52" s="16829"/>
      <c r="BD52" s="16830"/>
      <c r="BE52" s="16828"/>
      <c r="BF52" s="16829"/>
      <c r="BG52" s="16829"/>
      <c r="BH52" s="16829"/>
      <c r="BI52" s="16829"/>
      <c r="BJ52" s="16829"/>
      <c r="BK52" s="16830"/>
      <c r="BL52" s="16833"/>
      <c r="BM52" s="16818" t="s">
        <v>595</v>
      </c>
      <c r="BN52" s="16819"/>
      <c r="BO52" s="16820"/>
      <c r="BP52" s="16820" t="str">
        <f>IF(T52="","",T52)</f>
        <v>Наименование признака дифференциации</v>
      </c>
      <c r="BQ52" s="16820"/>
      <c r="BR52" s="16820"/>
      <c r="BS52" s="16821">
        <v>0</v>
      </c>
    </row>
    <row s="23101" customFormat="1" customHeight="1" ht="23.25">
      <c r="A53" s="16804"/>
      <c r="B53" s="16804"/>
      <c r="C53" s="16804"/>
      <c r="D53" s="16804"/>
      <c r="E53" s="16805"/>
      <c r="F53" s="16805"/>
      <c r="G53" s="16805">
        <v>1</v>
      </c>
      <c r="H53" s="16805"/>
      <c r="I53" s="16835"/>
      <c r="J53" s="16823" t="str">
        <f>I52&amp;".1"</f>
        <v>1.1.2.1.1</v>
      </c>
      <c r="K53" s="16804"/>
      <c r="L53" s="16807" t="s">
        <v>520</v>
      </c>
      <c r="M53" s="16824"/>
      <c r="N53" s="16824"/>
      <c r="O53" s="16824"/>
      <c r="P53" s="16825"/>
      <c r="Q53" s="16825">
        <v>1</v>
      </c>
      <c r="R53" s="16836"/>
      <c r="S53" s="16812" t="str">
        <f>$J53</f>
        <v>1.1.2.1.1</v>
      </c>
      <c r="T53" s="16837" t="s">
        <v>521</v>
      </c>
      <c r="U53" s="16814"/>
      <c r="V53" s="16838"/>
      <c r="W53" s="16839"/>
      <c r="X53" s="16839"/>
      <c r="Y53" s="16839"/>
      <c r="Z53" s="16839"/>
      <c r="AA53" s="16839"/>
      <c r="AB53" s="16840"/>
      <c r="AC53" s="16838" t="s">
        <v>607</v>
      </c>
      <c r="AD53" s="16839"/>
      <c r="AE53" s="16839"/>
      <c r="AF53" s="16839"/>
      <c r="AG53" s="16839"/>
      <c r="AH53" s="16839"/>
      <c r="AI53" s="16839"/>
      <c r="AJ53" s="16838"/>
      <c r="AK53" s="16839"/>
      <c r="AL53" s="16839"/>
      <c r="AM53" s="16839"/>
      <c r="AN53" s="16839"/>
      <c r="AO53" s="16839"/>
      <c r="AP53" s="16840"/>
      <c r="AQ53" s="16838"/>
      <c r="AR53" s="16839"/>
      <c r="AS53" s="16839"/>
      <c r="AT53" s="16839"/>
      <c r="AU53" s="16839"/>
      <c r="AV53" s="16839"/>
      <c r="AW53" s="16840"/>
      <c r="AX53" s="16838"/>
      <c r="AY53" s="16839"/>
      <c r="AZ53" s="16839"/>
      <c r="BA53" s="16839"/>
      <c r="BB53" s="16839"/>
      <c r="BC53" s="16839"/>
      <c r="BD53" s="16840"/>
      <c r="BE53" s="16838"/>
      <c r="BF53" s="16839"/>
      <c r="BG53" s="16839"/>
      <c r="BH53" s="16839"/>
      <c r="BI53" s="16839"/>
      <c r="BJ53" s="16839"/>
      <c r="BK53" s="16840"/>
      <c r="BL53" s="16840"/>
      <c r="BM53" s="16841" t="s">
        <v>596</v>
      </c>
      <c r="BN53" s="16819"/>
      <c r="BO53" s="16820"/>
      <c r="BP53" s="16820" t="str">
        <f>IF(T53="","",T53)</f>
        <v>Группа потребителей</v>
      </c>
      <c r="BQ53" s="16820"/>
      <c r="BR53" s="16820"/>
      <c r="BS53" s="16821">
        <v>0</v>
      </c>
    </row>
    <row s="23109" customFormat="1" customHeight="1" ht="23.25">
      <c r="A54" s="16804"/>
      <c r="B54" s="16804"/>
      <c r="C54" s="16804"/>
      <c r="D54" s="16804"/>
      <c r="E54" s="16805"/>
      <c r="F54" s="16805"/>
      <c r="G54" s="16805">
        <v>1</v>
      </c>
      <c r="H54" s="16805"/>
      <c r="I54" s="16835"/>
      <c r="J54" s="16835"/>
      <c r="K54" s="16823" t="str">
        <f>J53&amp;".1"</f>
        <v>1.1.2.1.1.1</v>
      </c>
      <c r="L54" s="16807"/>
      <c r="M54" s="16824"/>
      <c r="N54" s="16824"/>
      <c r="O54" s="16824"/>
      <c r="P54" s="16825"/>
      <c r="Q54" s="16825"/>
      <c r="R54" s="16836">
        <v>1</v>
      </c>
      <c r="S54" s="16812" t="str">
        <f>$K54</f>
        <v>1.1.2.1.1.1</v>
      </c>
      <c r="T54" s="16843" t="s">
        <v>590</v>
      </c>
      <c r="U54" s="16814"/>
      <c r="V54" s="16708"/>
      <c r="W54" s="16708"/>
      <c r="X54" s="16709"/>
      <c r="Y54" s="16710"/>
      <c r="Z54" s="16711" t="s">
        <v>66</v>
      </c>
      <c r="AA54" s="16710"/>
      <c r="AB54" s="16711" t="s">
        <v>66</v>
      </c>
      <c r="AC54" s="16844">
        <v>48.04</v>
      </c>
      <c r="AD54" s="16844"/>
      <c r="AE54" s="16845"/>
      <c r="AF54" s="16846">
        <v>45658.48568287037</v>
      </c>
      <c r="AG54" s="16847" t="s">
        <v>66</v>
      </c>
      <c r="AH54" s="16712">
        <v>46022.48578703704</v>
      </c>
      <c r="AI54" s="16847" t="s">
        <v>66</v>
      </c>
      <c r="AJ54" s="16844">
        <v>46.14</v>
      </c>
      <c r="AK54" s="16844"/>
      <c r="AL54" s="16845"/>
      <c r="AM54" s="16846">
        <v>46023.49209490741</v>
      </c>
      <c r="AN54" s="16847" t="s">
        <v>66</v>
      </c>
      <c r="AO54" s="16846">
        <v>46387.49222222222</v>
      </c>
      <c r="AP54" s="16847" t="s">
        <v>66</v>
      </c>
      <c r="AQ54" s="16844">
        <v>47.49</v>
      </c>
      <c r="AR54" s="16844"/>
      <c r="AS54" s="16845"/>
      <c r="AT54" s="16846">
        <v>46388.498078703706</v>
      </c>
      <c r="AU54" s="16847" t="s">
        <v>66</v>
      </c>
      <c r="AV54" s="16846">
        <v>46752.498194444444</v>
      </c>
      <c r="AW54" s="16847" t="s">
        <v>66</v>
      </c>
      <c r="AX54" s="16844">
        <v>48.88</v>
      </c>
      <c r="AY54" s="16844"/>
      <c r="AZ54" s="16845"/>
      <c r="BA54" s="16846">
        <v>46753.49835648148</v>
      </c>
      <c r="BB54" s="16847" t="s">
        <v>66</v>
      </c>
      <c r="BC54" s="16846">
        <v>47118.4984837963</v>
      </c>
      <c r="BD54" s="16847" t="s">
        <v>19</v>
      </c>
      <c r="BE54" s="16708"/>
      <c r="BF54" s="16708"/>
      <c r="BG54" s="16709"/>
      <c r="BH54" s="16710"/>
      <c r="BI54" s="16711" t="s">
        <v>66</v>
      </c>
      <c r="BJ54" s="16710"/>
      <c r="BK54" s="16711" t="s">
        <v>66</v>
      </c>
      <c r="BL54" s="16848"/>
      <c r="BM54"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4" s="16819">
        <f>STRCHECKDATE(V55:BL55)</f>
      </c>
      <c r="BO54" s="16820"/>
      <c r="BP54" s="16820" t="str">
        <f>IF(T54="","",T54)</f>
        <v>без НДС</v>
      </c>
      <c r="BQ54" s="16820"/>
      <c r="BR54" s="16820"/>
      <c r="BS54" s="16821">
        <v>0</v>
      </c>
    </row>
    <row s="23117" customFormat="1" customHeight="1" ht="14.25">
      <c r="A55" s="16804"/>
      <c r="B55" s="16804"/>
      <c r="C55" s="16804"/>
      <c r="D55" s="16804"/>
      <c r="E55" s="16805"/>
      <c r="F55" s="16805"/>
      <c r="G55" s="16805">
        <v>1</v>
      </c>
      <c r="H55" s="16805"/>
      <c r="I55" s="16835"/>
      <c r="J55" s="16835"/>
      <c r="K55" s="16823"/>
      <c r="L55" s="16807"/>
      <c r="M55" s="16824"/>
      <c r="N55" s="16824"/>
      <c r="O55" s="16824"/>
      <c r="P55" s="16825"/>
      <c r="Q55" s="16825"/>
      <c r="R55" s="16836"/>
      <c r="S55" s="16851"/>
      <c r="T55" s="16814"/>
      <c r="U55" s="16814"/>
      <c r="V55" s="16708"/>
      <c r="W55" s="16708"/>
      <c r="X55" s="16716" t="str">
        <f>Y54&amp;"-"&amp;AA54</f>
        <v>-</v>
      </c>
      <c r="Y55" s="16711"/>
      <c r="Z55" s="16711"/>
      <c r="AA55" s="16711"/>
      <c r="AB55" s="16711"/>
      <c r="AC55" s="16852"/>
      <c r="AD55" s="16852"/>
      <c r="AE55" s="16716" t="str">
        <f>AF54&amp;"-"&amp;AH54</f>
        <v>45658.48568287037-46022.48578703704</v>
      </c>
      <c r="AF55" s="16853"/>
      <c r="AG55" s="16847"/>
      <c r="AH55" s="16854"/>
      <c r="AI55" s="16847"/>
      <c r="AJ55" s="16852"/>
      <c r="AK55" s="16852"/>
      <c r="AL55" s="16716" t="str">
        <f>AM54&amp;"-"&amp;AO54</f>
        <v>46023.49209490741-46387.49222222222</v>
      </c>
      <c r="AM55" s="16853"/>
      <c r="AN55" s="16847"/>
      <c r="AO55" s="16853"/>
      <c r="AP55" s="16847"/>
      <c r="AQ55" s="16852"/>
      <c r="AR55" s="16852"/>
      <c r="AS55" s="16716" t="str">
        <f>AT54&amp;"-"&amp;AV54</f>
        <v>46388.498078703706-46752.498194444444</v>
      </c>
      <c r="AT55" s="16853"/>
      <c r="AU55" s="16847"/>
      <c r="AV55" s="16853"/>
      <c r="AW55" s="16847"/>
      <c r="AX55" s="16852"/>
      <c r="AY55" s="16852"/>
      <c r="AZ55" s="16716" t="str">
        <f>BA54&amp;"-"&amp;BC54</f>
        <v>46753.49835648148-47118.4984837963</v>
      </c>
      <c r="BA55" s="16853"/>
      <c r="BB55" s="16847"/>
      <c r="BC55" s="16853"/>
      <c r="BD55" s="16847"/>
      <c r="BE55" s="16708"/>
      <c r="BF55" s="16708"/>
      <c r="BG55" s="16716" t="str">
        <f>BH54&amp;"-"&amp;BJ54</f>
        <v>-</v>
      </c>
      <c r="BH55" s="16711"/>
      <c r="BI55" s="16711"/>
      <c r="BJ55" s="16711"/>
      <c r="BK55" s="16711"/>
      <c r="BL55" s="16855"/>
      <c r="BM55" s="16849"/>
      <c r="BN55" s="16819"/>
      <c r="BO55" s="16820"/>
      <c r="BP55" s="16820" t="str">
        <f>IF(T55="","",T55)</f>
        <v/>
      </c>
      <c r="BQ55" s="16820"/>
      <c r="BR55" s="16820"/>
      <c r="BS55" s="16821">
        <v>0</v>
      </c>
    </row>
    <row s="23123" customFormat="1" customHeight="1" ht="21">
      <c r="A56" s="16804"/>
      <c r="B56" s="16804"/>
      <c r="C56" s="16804"/>
      <c r="D56" s="16804"/>
      <c r="E56" s="16805"/>
      <c r="F56" s="16805"/>
      <c r="G56" s="16805">
        <v>1</v>
      </c>
      <c r="H56" s="16805"/>
      <c r="I56" s="16835"/>
      <c r="J56" s="16823"/>
      <c r="K56" s="16804"/>
      <c r="L56" s="16807"/>
      <c r="M56" s="16824"/>
      <c r="N56" s="16824"/>
      <c r="O56" s="16824"/>
      <c r="P56" s="16825"/>
      <c r="Q56" s="16825"/>
      <c r="R56" s="16826"/>
      <c r="S56" s="16857"/>
      <c r="T56" s="16858" t="s">
        <v>597</v>
      </c>
      <c r="U56" s="16859"/>
      <c r="V56" s="16860"/>
      <c r="W56" s="16861"/>
      <c r="X56" s="16862"/>
      <c r="Y56" s="16863"/>
      <c r="Z56" s="16864"/>
      <c r="AA56" s="16865"/>
      <c r="AB56" s="16866"/>
      <c r="AC56" s="16867"/>
      <c r="AD56" s="16868"/>
      <c r="AE56" s="16869"/>
      <c r="AF56" s="16870"/>
      <c r="AG56" s="16871"/>
      <c r="AH56" s="16872"/>
      <c r="AI56" s="16873"/>
      <c r="AJ56" s="16874"/>
      <c r="AK56" s="16875"/>
      <c r="AL56" s="16876"/>
      <c r="AM56" s="16877"/>
      <c r="AN56" s="16878"/>
      <c r="AO56" s="16879"/>
      <c r="AP56" s="16880"/>
      <c r="AQ56" s="16881"/>
      <c r="AR56" s="16882"/>
      <c r="AS56" s="16883"/>
      <c r="AT56" s="16884"/>
      <c r="AU56" s="16885"/>
      <c r="AV56" s="16886"/>
      <c r="AW56" s="16887"/>
      <c r="AX56" s="16888"/>
      <c r="AY56" s="16889"/>
      <c r="AZ56" s="16890"/>
      <c r="BA56" s="16891"/>
      <c r="BB56" s="16892"/>
      <c r="BC56" s="16893"/>
      <c r="BD56" s="16894"/>
      <c r="BE56" s="16895"/>
      <c r="BF56" s="16896"/>
      <c r="BG56" s="16897"/>
      <c r="BH56" s="16898"/>
      <c r="BI56" s="16899"/>
      <c r="BJ56" s="16900"/>
      <c r="BK56" s="16901"/>
      <c r="BL56" s="16902"/>
      <c r="BM56" s="16818" t="s">
        <v>598</v>
      </c>
      <c r="BN56" s="16819"/>
      <c r="BO56" s="16820"/>
      <c r="BP56" s="16820" t="str">
        <f>IF(T56="","",T56)</f>
        <v>Добавить значение признака дифференциации</v>
      </c>
      <c r="BQ56" s="16820"/>
      <c r="BR56" s="16820"/>
      <c r="BS56" s="16821">
        <v>0</v>
      </c>
    </row>
    <row s="23170" customFormat="1" customHeight="1" ht="21">
      <c r="A57" s="16804"/>
      <c r="B57" s="16804"/>
      <c r="C57" s="16804"/>
      <c r="D57" s="16804"/>
      <c r="E57" s="16805"/>
      <c r="F57" s="16805"/>
      <c r="G57" s="16805">
        <v>1</v>
      </c>
      <c r="H57" s="16805"/>
      <c r="I57" s="16823"/>
      <c r="J57" s="16804"/>
      <c r="K57" s="16804"/>
      <c r="L57" s="16807"/>
      <c r="M57" s="16824"/>
      <c r="N57" s="16824"/>
      <c r="O57" s="16824"/>
      <c r="P57" s="16825"/>
      <c r="Q57" s="16825"/>
      <c r="R57" s="16826"/>
      <c r="S57" s="16904"/>
      <c r="T57" s="16905" t="s">
        <v>526</v>
      </c>
      <c r="U57" s="16906"/>
      <c r="V57" s="16907"/>
      <c r="W57" s="16908"/>
      <c r="X57" s="16909"/>
      <c r="Y57" s="16910"/>
      <c r="Z57" s="16911"/>
      <c r="AA57" s="16912"/>
      <c r="AB57" s="16913"/>
      <c r="AC57" s="16914"/>
      <c r="AD57" s="16915"/>
      <c r="AE57" s="16916"/>
      <c r="AF57" s="16917"/>
      <c r="AG57" s="16918"/>
      <c r="AH57" s="16919"/>
      <c r="AI57" s="16920"/>
      <c r="AJ57" s="16921"/>
      <c r="AK57" s="16922"/>
      <c r="AL57" s="16923"/>
      <c r="AM57" s="16924"/>
      <c r="AN57" s="16925"/>
      <c r="AO57" s="16926"/>
      <c r="AP57" s="16927"/>
      <c r="AQ57" s="16928"/>
      <c r="AR57" s="16929"/>
      <c r="AS57" s="16930"/>
      <c r="AT57" s="16931"/>
      <c r="AU57" s="16932"/>
      <c r="AV57" s="16933"/>
      <c r="AW57" s="16934"/>
      <c r="AX57" s="16935"/>
      <c r="AY57" s="16936"/>
      <c r="AZ57" s="16937"/>
      <c r="BA57" s="16938"/>
      <c r="BB57" s="16939"/>
      <c r="BC57" s="16940"/>
      <c r="BD57" s="16941"/>
      <c r="BE57" s="16942"/>
      <c r="BF57" s="16943"/>
      <c r="BG57" s="16944"/>
      <c r="BH57" s="16945"/>
      <c r="BI57" s="16946"/>
      <c r="BJ57" s="16947"/>
      <c r="BK57" s="16948"/>
      <c r="BL57" s="16949"/>
      <c r="BM57" s="16950"/>
      <c r="BN57" s="16819"/>
      <c r="BO57" s="16820"/>
      <c r="BP57" s="16820" t="str">
        <f>IF(T57="","",T57)</f>
        <v>Добавить группу потребителей</v>
      </c>
      <c r="BQ57" s="16820"/>
      <c r="BR57" s="16820"/>
      <c r="BS57" s="16821">
        <v>0</v>
      </c>
    </row>
    <row s="23218" customFormat="1" customHeight="1" ht="14.25">
      <c r="A58" s="16804"/>
      <c r="B58" s="16804"/>
      <c r="C58" s="16804"/>
      <c r="D58" s="16804"/>
      <c r="E58" s="16805"/>
      <c r="F58" s="16805"/>
      <c r="G58" s="16805">
        <v>1</v>
      </c>
      <c r="H58" s="16806"/>
      <c r="I58" s="16804"/>
      <c r="J58" s="16804"/>
      <c r="K58" s="16804"/>
      <c r="L58" s="16807"/>
      <c r="M58" s="16808"/>
      <c r="N58" s="16808"/>
      <c r="O58" s="16952"/>
      <c r="P58" s="16953"/>
      <c r="Q58" s="16954"/>
      <c r="R58" s="16955"/>
      <c r="S58" s="16956"/>
      <c r="T58" s="16957" t="s">
        <v>599</v>
      </c>
      <c r="U58" s="16958"/>
      <c r="V58" s="16959"/>
      <c r="W58" s="16960"/>
      <c r="X58" s="16961"/>
      <c r="Y58" s="16962"/>
      <c r="Z58" s="16963"/>
      <c r="AA58" s="16964"/>
      <c r="AB58" s="16965"/>
      <c r="AC58" s="16966"/>
      <c r="AD58" s="16967"/>
      <c r="AE58" s="16968"/>
      <c r="AF58" s="16969"/>
      <c r="AG58" s="16970"/>
      <c r="AH58" s="16971"/>
      <c r="AI58" s="16972"/>
      <c r="AJ58" s="16973"/>
      <c r="AK58" s="16974"/>
      <c r="AL58" s="16975"/>
      <c r="AM58" s="16976"/>
      <c r="AN58" s="16977"/>
      <c r="AO58" s="16978"/>
      <c r="AP58" s="16979"/>
      <c r="AQ58" s="16980"/>
      <c r="AR58" s="16981"/>
      <c r="AS58" s="16982"/>
      <c r="AT58" s="16983"/>
      <c r="AU58" s="16984"/>
      <c r="AV58" s="16985"/>
      <c r="AW58" s="16986"/>
      <c r="AX58" s="16987"/>
      <c r="AY58" s="16988"/>
      <c r="AZ58" s="16989"/>
      <c r="BA58" s="16990"/>
      <c r="BB58" s="16991"/>
      <c r="BC58" s="16992"/>
      <c r="BD58" s="16993"/>
      <c r="BE58" s="16994"/>
      <c r="BF58" s="16995"/>
      <c r="BG58" s="16996"/>
      <c r="BH58" s="16997"/>
      <c r="BI58" s="16998"/>
      <c r="BJ58" s="16999"/>
      <c r="BK58" s="17000"/>
      <c r="BL58" s="17001"/>
      <c r="BM58" s="17002"/>
      <c r="BN58" s="16819"/>
      <c r="BO58" s="16820"/>
      <c r="BP58" s="16820" t="str">
        <f>IF(T58="","",T58)</f>
        <v>Добавить наименование признака дифференциации</v>
      </c>
      <c r="BQ58" s="16820"/>
      <c r="BR58" s="16820"/>
      <c r="BS58" s="16821">
        <v>0</v>
      </c>
    </row>
    <row s="23270" customFormat="1" customHeight="1" ht="23.25">
      <c r="A59" s="16804"/>
      <c r="B59" s="16804"/>
      <c r="C59" s="16804" t="s">
        <v>272</v>
      </c>
      <c r="D59" s="16804"/>
      <c r="E59" s="16805"/>
      <c r="F59" s="16805"/>
      <c r="G59" s="16806" t="s">
        <v>90</v>
      </c>
      <c r="H59" s="16804"/>
      <c r="I59" s="16804"/>
      <c r="J59" s="16804"/>
      <c r="K59" s="16804"/>
      <c r="L59" s="16807"/>
      <c r="M59" s="16808"/>
      <c r="N59" s="16808"/>
      <c r="O59" s="16808"/>
      <c r="P59" s="16809"/>
      <c r="Q59" s="16810"/>
      <c r="R59" s="16811"/>
      <c r="S59" s="16812" t="str">
        <f>INDEX(PT_DIFFERENTIATION_NUM_CS,MATCH(C59,PT_DIFFERENTIATION_CS_ID,0))</f>
        <v>1.1.3</v>
      </c>
      <c r="T59" s="16813" t="s">
        <v>592</v>
      </c>
      <c r="U59" s="16814"/>
      <c r="V59" s="16815"/>
      <c r="W59" s="16816"/>
      <c r="X59" s="16816"/>
      <c r="Y59" s="16816"/>
      <c r="Z59" s="16816"/>
      <c r="AA59" s="16816"/>
      <c r="AB59" s="16817"/>
      <c r="AC59" s="16815" t="str">
        <f>INDEX(PT_DIFFERENTIATION_CS,MATCH(C59,PT_DIFFERENTIATION_CS_ID,0))</f>
        <v>пгт. Краскино</v>
      </c>
      <c r="AD59" s="16816"/>
      <c r="AE59" s="16816"/>
      <c r="AF59" s="16816"/>
      <c r="AG59" s="16816"/>
      <c r="AH59" s="16816"/>
      <c r="AI59" s="16816"/>
      <c r="AJ59" s="16815"/>
      <c r="AK59" s="16816"/>
      <c r="AL59" s="16816"/>
      <c r="AM59" s="16816"/>
      <c r="AN59" s="16816"/>
      <c r="AO59" s="16816"/>
      <c r="AP59" s="16817"/>
      <c r="AQ59" s="16815"/>
      <c r="AR59" s="16816"/>
      <c r="AS59" s="16816"/>
      <c r="AT59" s="16816"/>
      <c r="AU59" s="16816"/>
      <c r="AV59" s="16816"/>
      <c r="AW59" s="16817"/>
      <c r="AX59" s="16815"/>
      <c r="AY59" s="16816"/>
      <c r="AZ59" s="16816"/>
      <c r="BA59" s="16816"/>
      <c r="BB59" s="16816"/>
      <c r="BC59" s="16816"/>
      <c r="BD59" s="16817"/>
      <c r="BE59" s="16815"/>
      <c r="BF59" s="16816"/>
      <c r="BG59" s="16816"/>
      <c r="BH59" s="16816"/>
      <c r="BI59" s="16816"/>
      <c r="BJ59" s="16816"/>
      <c r="BK59" s="16817"/>
      <c r="BL59" s="16817"/>
      <c r="BM59" s="16818" t="s">
        <v>593</v>
      </c>
      <c r="BN59" s="16819"/>
      <c r="BO59" s="16820"/>
      <c r="BP59" s="16820" t="str">
        <f>IF(T59="","",T59)</f>
        <v>Наименование централизованной системы холодного водоснабжения</v>
      </c>
      <c r="BQ59" s="16820"/>
      <c r="BR59" s="16820"/>
      <c r="BS59" s="16821">
        <v>0</v>
      </c>
    </row>
    <row s="23271" customFormat="1" customHeight="1" ht="23.25">
      <c r="A60" s="16804"/>
      <c r="B60" s="16804"/>
      <c r="C60" s="16804"/>
      <c r="D60" s="16804"/>
      <c r="E60" s="16805"/>
      <c r="F60" s="16805"/>
      <c r="G60" s="16805" t="s">
        <v>103</v>
      </c>
      <c r="H60" s="16805"/>
      <c r="I60" s="16823" t="str">
        <f>S59&amp;".1"</f>
        <v>1.1.3.1</v>
      </c>
      <c r="J60" s="16804"/>
      <c r="K60" s="16804"/>
      <c r="L60" s="16807"/>
      <c r="M60" s="16824"/>
      <c r="N60" s="16824"/>
      <c r="O60" s="16824"/>
      <c r="P60" s="16825">
        <v>1</v>
      </c>
      <c r="Q60" s="16825"/>
      <c r="R60" s="16826"/>
      <c r="S60" s="16812" t="str">
        <f>$I60</f>
        <v>1.1.3.1</v>
      </c>
      <c r="T60" s="16827" t="s">
        <v>594</v>
      </c>
      <c r="U60" s="16814"/>
      <c r="V60" s="16828"/>
      <c r="W60" s="16829"/>
      <c r="X60" s="16829"/>
      <c r="Y60" s="16829"/>
      <c r="Z60" s="16829"/>
      <c r="AA60" s="16829"/>
      <c r="AB60" s="16830"/>
      <c r="AC60" s="16831"/>
      <c r="AD60" s="16832"/>
      <c r="AE60" s="16832"/>
      <c r="AF60" s="16832"/>
      <c r="AG60" s="16832"/>
      <c r="AH60" s="16832"/>
      <c r="AI60" s="16832"/>
      <c r="AJ60" s="16828"/>
      <c r="AK60" s="16829"/>
      <c r="AL60" s="16829"/>
      <c r="AM60" s="16829"/>
      <c r="AN60" s="16829"/>
      <c r="AO60" s="16829"/>
      <c r="AP60" s="16830"/>
      <c r="AQ60" s="16828"/>
      <c r="AR60" s="16829"/>
      <c r="AS60" s="16829"/>
      <c r="AT60" s="16829"/>
      <c r="AU60" s="16829"/>
      <c r="AV60" s="16829"/>
      <c r="AW60" s="16830"/>
      <c r="AX60" s="16828"/>
      <c r="AY60" s="16829"/>
      <c r="AZ60" s="16829"/>
      <c r="BA60" s="16829"/>
      <c r="BB60" s="16829"/>
      <c r="BC60" s="16829"/>
      <c r="BD60" s="16830"/>
      <c r="BE60" s="16828"/>
      <c r="BF60" s="16829"/>
      <c r="BG60" s="16829"/>
      <c r="BH60" s="16829"/>
      <c r="BI60" s="16829"/>
      <c r="BJ60" s="16829"/>
      <c r="BK60" s="16830"/>
      <c r="BL60" s="16833"/>
      <c r="BM60" s="16818" t="s">
        <v>595</v>
      </c>
      <c r="BN60" s="16819"/>
      <c r="BO60" s="16820"/>
      <c r="BP60" s="16820" t="str">
        <f>IF(T60="","",T60)</f>
        <v>Наименование признака дифференциации</v>
      </c>
      <c r="BQ60" s="16820"/>
      <c r="BR60" s="16820"/>
      <c r="BS60" s="16821">
        <v>0</v>
      </c>
    </row>
    <row s="23272" customFormat="1" customHeight="1" ht="23.25">
      <c r="A61" s="16804"/>
      <c r="B61" s="16804"/>
      <c r="C61" s="16804"/>
      <c r="D61" s="16804"/>
      <c r="E61" s="16805"/>
      <c r="F61" s="16805"/>
      <c r="G61" s="16805" t="s">
        <v>103</v>
      </c>
      <c r="H61" s="16805"/>
      <c r="I61" s="16835"/>
      <c r="J61" s="16823" t="str">
        <f>I60&amp;".1"</f>
        <v>1.1.3.1.1</v>
      </c>
      <c r="K61" s="16804"/>
      <c r="L61" s="16807" t="s">
        <v>520</v>
      </c>
      <c r="M61" s="16824"/>
      <c r="N61" s="16824"/>
      <c r="O61" s="16824"/>
      <c r="P61" s="16825"/>
      <c r="Q61" s="16825">
        <v>1</v>
      </c>
      <c r="R61" s="16836"/>
      <c r="S61" s="16812" t="str">
        <f>$J61</f>
        <v>1.1.3.1.1</v>
      </c>
      <c r="T61" s="16837" t="s">
        <v>521</v>
      </c>
      <c r="U61" s="16814"/>
      <c r="V61" s="16838"/>
      <c r="W61" s="16839"/>
      <c r="X61" s="16839"/>
      <c r="Y61" s="16839"/>
      <c r="Z61" s="16839"/>
      <c r="AA61" s="16839"/>
      <c r="AB61" s="16840"/>
      <c r="AC61" s="16838" t="s">
        <v>607</v>
      </c>
      <c r="AD61" s="16839"/>
      <c r="AE61" s="16839"/>
      <c r="AF61" s="16839"/>
      <c r="AG61" s="16839"/>
      <c r="AH61" s="16839"/>
      <c r="AI61" s="16839"/>
      <c r="AJ61" s="16838"/>
      <c r="AK61" s="16839"/>
      <c r="AL61" s="16839"/>
      <c r="AM61" s="16839"/>
      <c r="AN61" s="16839"/>
      <c r="AO61" s="16839"/>
      <c r="AP61" s="16840"/>
      <c r="AQ61" s="16838"/>
      <c r="AR61" s="16839"/>
      <c r="AS61" s="16839"/>
      <c r="AT61" s="16839"/>
      <c r="AU61" s="16839"/>
      <c r="AV61" s="16839"/>
      <c r="AW61" s="16840"/>
      <c r="AX61" s="16838"/>
      <c r="AY61" s="16839"/>
      <c r="AZ61" s="16839"/>
      <c r="BA61" s="16839"/>
      <c r="BB61" s="16839"/>
      <c r="BC61" s="16839"/>
      <c r="BD61" s="16840"/>
      <c r="BE61" s="16838"/>
      <c r="BF61" s="16839"/>
      <c r="BG61" s="16839"/>
      <c r="BH61" s="16839"/>
      <c r="BI61" s="16839"/>
      <c r="BJ61" s="16839"/>
      <c r="BK61" s="16840"/>
      <c r="BL61" s="16840"/>
      <c r="BM61" s="16841" t="s">
        <v>596</v>
      </c>
      <c r="BN61" s="16819"/>
      <c r="BO61" s="16820"/>
      <c r="BP61" s="16820" t="str">
        <f>IF(T61="","",T61)</f>
        <v>Группа потребителей</v>
      </c>
      <c r="BQ61" s="16820"/>
      <c r="BR61" s="16820"/>
      <c r="BS61" s="16821">
        <v>0</v>
      </c>
    </row>
    <row s="23273" customFormat="1" customHeight="1" ht="23.25">
      <c r="A62" s="16804"/>
      <c r="B62" s="16804"/>
      <c r="C62" s="16804"/>
      <c r="D62" s="16804"/>
      <c r="E62" s="16805"/>
      <c r="F62" s="16805"/>
      <c r="G62" s="16805" t="s">
        <v>103</v>
      </c>
      <c r="H62" s="16805"/>
      <c r="I62" s="16835"/>
      <c r="J62" s="16835"/>
      <c r="K62" s="16823" t="str">
        <f>J61&amp;".1"</f>
        <v>1.1.3.1.1.1</v>
      </c>
      <c r="L62" s="16807"/>
      <c r="M62" s="16824"/>
      <c r="N62" s="16824"/>
      <c r="O62" s="16824"/>
      <c r="P62" s="16825"/>
      <c r="Q62" s="16825"/>
      <c r="R62" s="16836">
        <v>1</v>
      </c>
      <c r="S62" s="16812" t="str">
        <f>$K62</f>
        <v>1.1.3.1.1.1</v>
      </c>
      <c r="T62" s="16843" t="s">
        <v>590</v>
      </c>
      <c r="U62" s="16814"/>
      <c r="V62" s="16708"/>
      <c r="W62" s="16708"/>
      <c r="X62" s="16709"/>
      <c r="Y62" s="16710"/>
      <c r="Z62" s="16711" t="s">
        <v>66</v>
      </c>
      <c r="AA62" s="16710"/>
      <c r="AB62" s="16711" t="s">
        <v>66</v>
      </c>
      <c r="AC62" s="16844">
        <v>28.57</v>
      </c>
      <c r="AD62" s="16844"/>
      <c r="AE62" s="16845"/>
      <c r="AF62" s="16846">
        <v>45658.48594907407</v>
      </c>
      <c r="AG62" s="16847" t="s">
        <v>66</v>
      </c>
      <c r="AH62" s="16712">
        <v>46022.48541666667</v>
      </c>
      <c r="AI62" s="16847" t="s">
        <v>66</v>
      </c>
      <c r="AJ62" s="16844">
        <v>27.69</v>
      </c>
      <c r="AK62" s="16844"/>
      <c r="AL62" s="16845"/>
      <c r="AM62" s="16846">
        <v>46023.49239583333</v>
      </c>
      <c r="AN62" s="16847" t="s">
        <v>66</v>
      </c>
      <c r="AO62" s="16846">
        <v>46387.49251157408</v>
      </c>
      <c r="AP62" s="16847" t="s">
        <v>66</v>
      </c>
      <c r="AQ62" s="16844">
        <v>28.5</v>
      </c>
      <c r="AR62" s="16844"/>
      <c r="AS62" s="16845"/>
      <c r="AT62" s="16846">
        <v>46388.49863425926</v>
      </c>
      <c r="AU62" s="16847" t="s">
        <v>66</v>
      </c>
      <c r="AV62" s="16846">
        <v>46752.498761574076</v>
      </c>
      <c r="AW62" s="16847" t="s">
        <v>66</v>
      </c>
      <c r="AX62" s="16844">
        <v>29.34</v>
      </c>
      <c r="AY62" s="16844"/>
      <c r="AZ62" s="16845"/>
      <c r="BA62" s="16846">
        <v>46753.499247685184</v>
      </c>
      <c r="BB62" s="16847" t="s">
        <v>66</v>
      </c>
      <c r="BC62" s="16846">
        <v>47118.499386574076</v>
      </c>
      <c r="BD62" s="16847" t="s">
        <v>19</v>
      </c>
      <c r="BE62" s="16708"/>
      <c r="BF62" s="16708"/>
      <c r="BG62" s="16709"/>
      <c r="BH62" s="16710"/>
      <c r="BI62" s="16711" t="s">
        <v>66</v>
      </c>
      <c r="BJ62" s="16710"/>
      <c r="BK62" s="16711" t="s">
        <v>66</v>
      </c>
      <c r="BL62" s="16848"/>
      <c r="BM62"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62" s="16819">
        <f>STRCHECKDATE(V63:BL63)</f>
      </c>
      <c r="BO62" s="16820"/>
      <c r="BP62" s="16820" t="str">
        <f>IF(T62="","",T62)</f>
        <v>без НДС</v>
      </c>
      <c r="BQ62" s="16820"/>
      <c r="BR62" s="16820"/>
      <c r="BS62" s="16821">
        <v>0</v>
      </c>
    </row>
    <row s="23274" customFormat="1" customHeight="1" ht="14.25">
      <c r="A63" s="16804"/>
      <c r="B63" s="16804"/>
      <c r="C63" s="16804"/>
      <c r="D63" s="16804"/>
      <c r="E63" s="16805"/>
      <c r="F63" s="16805"/>
      <c r="G63" s="16805" t="s">
        <v>103</v>
      </c>
      <c r="H63" s="16805"/>
      <c r="I63" s="16835"/>
      <c r="J63" s="16835"/>
      <c r="K63" s="16823"/>
      <c r="L63" s="16807"/>
      <c r="M63" s="16824"/>
      <c r="N63" s="16824"/>
      <c r="O63" s="16824"/>
      <c r="P63" s="16825"/>
      <c r="Q63" s="16825"/>
      <c r="R63" s="16836"/>
      <c r="S63" s="16851"/>
      <c r="T63" s="16814"/>
      <c r="U63" s="16814"/>
      <c r="V63" s="16708"/>
      <c r="W63" s="16708"/>
      <c r="X63" s="16716" t="str">
        <f>Y62&amp;"-"&amp;AA62</f>
        <v>-</v>
      </c>
      <c r="Y63" s="16711"/>
      <c r="Z63" s="16711"/>
      <c r="AA63" s="16711"/>
      <c r="AB63" s="16711"/>
      <c r="AC63" s="16852"/>
      <c r="AD63" s="16852"/>
      <c r="AE63" s="16716" t="str">
        <f>AF62&amp;"-"&amp;AH62</f>
        <v>45658.48594907407-46022.48541666667</v>
      </c>
      <c r="AF63" s="16853"/>
      <c r="AG63" s="16847"/>
      <c r="AH63" s="16854"/>
      <c r="AI63" s="16847"/>
      <c r="AJ63" s="16852"/>
      <c r="AK63" s="16852"/>
      <c r="AL63" s="16716" t="str">
        <f>AM62&amp;"-"&amp;AO62</f>
        <v>46023.49239583333-46387.49251157408</v>
      </c>
      <c r="AM63" s="16853"/>
      <c r="AN63" s="16847"/>
      <c r="AO63" s="16853"/>
      <c r="AP63" s="16847"/>
      <c r="AQ63" s="16852"/>
      <c r="AR63" s="16852"/>
      <c r="AS63" s="16716" t="str">
        <f>AT62&amp;"-"&amp;AV62</f>
        <v>46388.49863425926-46752.498761574076</v>
      </c>
      <c r="AT63" s="16853"/>
      <c r="AU63" s="16847"/>
      <c r="AV63" s="16853"/>
      <c r="AW63" s="16847"/>
      <c r="AX63" s="16852"/>
      <c r="AY63" s="16852"/>
      <c r="AZ63" s="16716" t="str">
        <f>BA62&amp;"-"&amp;BC62</f>
        <v>46753.499247685184-47118.499386574076</v>
      </c>
      <c r="BA63" s="16853"/>
      <c r="BB63" s="16847"/>
      <c r="BC63" s="16853"/>
      <c r="BD63" s="16847"/>
      <c r="BE63" s="16708"/>
      <c r="BF63" s="16708"/>
      <c r="BG63" s="16716" t="str">
        <f>BH62&amp;"-"&amp;BJ62</f>
        <v>-</v>
      </c>
      <c r="BH63" s="16711"/>
      <c r="BI63" s="16711"/>
      <c r="BJ63" s="16711"/>
      <c r="BK63" s="16711"/>
      <c r="BL63" s="16855"/>
      <c r="BM63" s="16849"/>
      <c r="BN63" s="16819"/>
      <c r="BO63" s="16820"/>
      <c r="BP63" s="16820" t="str">
        <f>IF(T63="","",T63)</f>
        <v/>
      </c>
      <c r="BQ63" s="16820"/>
      <c r="BR63" s="16820"/>
      <c r="BS63" s="16821">
        <v>0</v>
      </c>
    </row>
    <row s="23275" customFormat="1" customHeight="1" ht="21">
      <c r="A64" s="16804"/>
      <c r="B64" s="16804"/>
      <c r="C64" s="16804"/>
      <c r="D64" s="16804"/>
      <c r="E64" s="16805"/>
      <c r="F64" s="16805"/>
      <c r="G64" s="16805" t="s">
        <v>103</v>
      </c>
      <c r="H64" s="16805"/>
      <c r="I64" s="16835"/>
      <c r="J64" s="16823"/>
      <c r="K64" s="16804"/>
      <c r="L64" s="16807"/>
      <c r="M64" s="16824"/>
      <c r="N64" s="16824"/>
      <c r="O64" s="16824"/>
      <c r="P64" s="16825"/>
      <c r="Q64" s="16825"/>
      <c r="R64" s="16826"/>
      <c r="S64" s="17009"/>
      <c r="T64" s="17010" t="s">
        <v>597</v>
      </c>
      <c r="U64" s="17011"/>
      <c r="V64" s="17012"/>
      <c r="W64" s="17013"/>
      <c r="X64" s="17014"/>
      <c r="Y64" s="17015"/>
      <c r="Z64" s="17016"/>
      <c r="AA64" s="17017"/>
      <c r="AB64" s="17018"/>
      <c r="AC64" s="17019"/>
      <c r="AD64" s="17020"/>
      <c r="AE64" s="17021"/>
      <c r="AF64" s="17022"/>
      <c r="AG64" s="17023"/>
      <c r="AH64" s="17024"/>
      <c r="AI64" s="17025"/>
      <c r="AJ64" s="17026"/>
      <c r="AK64" s="17027"/>
      <c r="AL64" s="17028"/>
      <c r="AM64" s="17029"/>
      <c r="AN64" s="17030"/>
      <c r="AO64" s="17031"/>
      <c r="AP64" s="17032"/>
      <c r="AQ64" s="17033"/>
      <c r="AR64" s="17034"/>
      <c r="AS64" s="17035"/>
      <c r="AT64" s="17036"/>
      <c r="AU64" s="17037"/>
      <c r="AV64" s="17038"/>
      <c r="AW64" s="17039"/>
      <c r="AX64" s="17040"/>
      <c r="AY64" s="17041"/>
      <c r="AZ64" s="17042"/>
      <c r="BA64" s="17043"/>
      <c r="BB64" s="17044"/>
      <c r="BC64" s="17045"/>
      <c r="BD64" s="17046"/>
      <c r="BE64" s="17047"/>
      <c r="BF64" s="17048"/>
      <c r="BG64" s="17049"/>
      <c r="BH64" s="17050"/>
      <c r="BI64" s="17051"/>
      <c r="BJ64" s="17052"/>
      <c r="BK64" s="17053"/>
      <c r="BL64" s="17054"/>
      <c r="BM64" s="16818" t="s">
        <v>598</v>
      </c>
      <c r="BN64" s="16819"/>
      <c r="BO64" s="16820"/>
      <c r="BP64" s="16820" t="str">
        <f>IF(T64="","",T64)</f>
        <v>Добавить значение признака дифференциации</v>
      </c>
      <c r="BQ64" s="16820"/>
      <c r="BR64" s="16820"/>
      <c r="BS64" s="16821">
        <v>0</v>
      </c>
    </row>
    <row s="23322" customFormat="1" customHeight="1" ht="21">
      <c r="A65" s="16804"/>
      <c r="B65" s="16804"/>
      <c r="C65" s="16804"/>
      <c r="D65" s="16804"/>
      <c r="E65" s="16805"/>
      <c r="F65" s="16805"/>
      <c r="G65" s="16805" t="s">
        <v>103</v>
      </c>
      <c r="H65" s="16805"/>
      <c r="I65" s="16823"/>
      <c r="J65" s="16804"/>
      <c r="K65" s="16804"/>
      <c r="L65" s="16807"/>
      <c r="M65" s="16824"/>
      <c r="N65" s="16824"/>
      <c r="O65" s="16824"/>
      <c r="P65" s="16825"/>
      <c r="Q65" s="16825"/>
      <c r="R65" s="16826"/>
      <c r="S65" s="17056"/>
      <c r="T65" s="17057" t="s">
        <v>526</v>
      </c>
      <c r="U65" s="17058"/>
      <c r="V65" s="17059"/>
      <c r="W65" s="17060"/>
      <c r="X65" s="17061"/>
      <c r="Y65" s="17062"/>
      <c r="Z65" s="17063"/>
      <c r="AA65" s="17064"/>
      <c r="AB65" s="17065"/>
      <c r="AC65" s="17066"/>
      <c r="AD65" s="17067"/>
      <c r="AE65" s="17068"/>
      <c r="AF65" s="17069"/>
      <c r="AG65" s="17070"/>
      <c r="AH65" s="17071"/>
      <c r="AI65" s="17072"/>
      <c r="AJ65" s="17073"/>
      <c r="AK65" s="17074"/>
      <c r="AL65" s="17075"/>
      <c r="AM65" s="17076"/>
      <c r="AN65" s="17077"/>
      <c r="AO65" s="17078"/>
      <c r="AP65" s="17079"/>
      <c r="AQ65" s="17080"/>
      <c r="AR65" s="17081"/>
      <c r="AS65" s="17082"/>
      <c r="AT65" s="17083"/>
      <c r="AU65" s="17084"/>
      <c r="AV65" s="17085"/>
      <c r="AW65" s="17086"/>
      <c r="AX65" s="17087"/>
      <c r="AY65" s="17088"/>
      <c r="AZ65" s="17089"/>
      <c r="BA65" s="17090"/>
      <c r="BB65" s="17091"/>
      <c r="BC65" s="17092"/>
      <c r="BD65" s="17093"/>
      <c r="BE65" s="17094"/>
      <c r="BF65" s="17095"/>
      <c r="BG65" s="17096"/>
      <c r="BH65" s="17097"/>
      <c r="BI65" s="17098"/>
      <c r="BJ65" s="17099"/>
      <c r="BK65" s="17100"/>
      <c r="BL65" s="17101"/>
      <c r="BM65" s="17102"/>
      <c r="BN65" s="16819"/>
      <c r="BO65" s="16820"/>
      <c r="BP65" s="16820" t="str">
        <f>IF(T65="","",T65)</f>
        <v>Добавить группу потребителей</v>
      </c>
      <c r="BQ65" s="16820"/>
      <c r="BR65" s="16820"/>
      <c r="BS65" s="16821">
        <v>0</v>
      </c>
    </row>
    <row s="23370" customFormat="1" customHeight="1" ht="14.25">
      <c r="A66" s="16804"/>
      <c r="B66" s="16804"/>
      <c r="C66" s="16804"/>
      <c r="D66" s="16804"/>
      <c r="E66" s="16805"/>
      <c r="F66" s="16805"/>
      <c r="G66" s="16805" t="s">
        <v>103</v>
      </c>
      <c r="H66" s="16806"/>
      <c r="I66" s="16804"/>
      <c r="J66" s="16804"/>
      <c r="K66" s="16804"/>
      <c r="L66" s="16807"/>
      <c r="M66" s="16808"/>
      <c r="N66" s="16808"/>
      <c r="O66" s="16952"/>
      <c r="P66" s="16953"/>
      <c r="Q66" s="16954"/>
      <c r="R66" s="16955"/>
      <c r="S66" s="17104"/>
      <c r="T66" s="17105" t="s">
        <v>599</v>
      </c>
      <c r="U66" s="17106"/>
      <c r="V66" s="17107"/>
      <c r="W66" s="17108"/>
      <c r="X66" s="17109"/>
      <c r="Y66" s="17110"/>
      <c r="Z66" s="17111"/>
      <c r="AA66" s="17112"/>
      <c r="AB66" s="17113"/>
      <c r="AC66" s="17114"/>
      <c r="AD66" s="17115"/>
      <c r="AE66" s="17116"/>
      <c r="AF66" s="17117"/>
      <c r="AG66" s="17118"/>
      <c r="AH66" s="17119"/>
      <c r="AI66" s="17120"/>
      <c r="AJ66" s="17121"/>
      <c r="AK66" s="17122"/>
      <c r="AL66" s="17123"/>
      <c r="AM66" s="17124"/>
      <c r="AN66" s="17125"/>
      <c r="AO66" s="17126"/>
      <c r="AP66" s="17127"/>
      <c r="AQ66" s="17128"/>
      <c r="AR66" s="17129"/>
      <c r="AS66" s="17130"/>
      <c r="AT66" s="17131"/>
      <c r="AU66" s="17132"/>
      <c r="AV66" s="17133"/>
      <c r="AW66" s="17134"/>
      <c r="AX66" s="17135"/>
      <c r="AY66" s="17136"/>
      <c r="AZ66" s="17137"/>
      <c r="BA66" s="17138"/>
      <c r="BB66" s="17139"/>
      <c r="BC66" s="17140"/>
      <c r="BD66" s="17141"/>
      <c r="BE66" s="17142"/>
      <c r="BF66" s="17143"/>
      <c r="BG66" s="17144"/>
      <c r="BH66" s="17145"/>
      <c r="BI66" s="17146"/>
      <c r="BJ66" s="17147"/>
      <c r="BK66" s="17148"/>
      <c r="BL66" s="17149"/>
      <c r="BM66" s="17150"/>
      <c r="BN66" s="16819"/>
      <c r="BO66" s="16820"/>
      <c r="BP66" s="16820" t="str">
        <f>IF(T66="","",T66)</f>
        <v>Добавить наименование признака дифференциации</v>
      </c>
      <c r="BQ66" s="16820"/>
      <c r="BR66" s="16820"/>
      <c r="BS66" s="16821">
        <v>0</v>
      </c>
    </row>
    <row s="23418" customFormat="1" customHeight="1" ht="23.25">
      <c r="A67" s="16804"/>
      <c r="B67" s="16804"/>
      <c r="C67" s="16804" t="s">
        <v>275</v>
      </c>
      <c r="D67" s="16804"/>
      <c r="E67" s="16805"/>
      <c r="F67" s="16805"/>
      <c r="G67" s="16806" t="s">
        <v>91</v>
      </c>
      <c r="H67" s="16804"/>
      <c r="I67" s="16804"/>
      <c r="J67" s="16804"/>
      <c r="K67" s="16804"/>
      <c r="L67" s="16807"/>
      <c r="M67" s="16808"/>
      <c r="N67" s="16808"/>
      <c r="O67" s="16808"/>
      <c r="P67" s="16809"/>
      <c r="Q67" s="16810"/>
      <c r="R67" s="16811"/>
      <c r="S67" s="16812" t="str">
        <f>INDEX(PT_DIFFERENTIATION_NUM_CS,MATCH(C67,PT_DIFFERENTIATION_CS_ID,0))</f>
        <v>1.1.4</v>
      </c>
      <c r="T67" s="16813" t="s">
        <v>592</v>
      </c>
      <c r="U67" s="16814"/>
      <c r="V67" s="16815"/>
      <c r="W67" s="16816"/>
      <c r="X67" s="16816"/>
      <c r="Y67" s="16816"/>
      <c r="Z67" s="16816"/>
      <c r="AA67" s="16816"/>
      <c r="AB67" s="16817"/>
      <c r="AC67" s="16815" t="str">
        <f>INDEX(PT_DIFFERENTIATION_CS,MATCH(C67,PT_DIFFERENTIATION_CS_ID,0))</f>
        <v>пгт. Посьет</v>
      </c>
      <c r="AD67" s="16816"/>
      <c r="AE67" s="16816"/>
      <c r="AF67" s="16816"/>
      <c r="AG67" s="16816"/>
      <c r="AH67" s="16816"/>
      <c r="AI67" s="16816"/>
      <c r="AJ67" s="16815"/>
      <c r="AK67" s="16816"/>
      <c r="AL67" s="16816"/>
      <c r="AM67" s="16816"/>
      <c r="AN67" s="16816"/>
      <c r="AO67" s="16816"/>
      <c r="AP67" s="16817"/>
      <c r="AQ67" s="16815"/>
      <c r="AR67" s="16816"/>
      <c r="AS67" s="16816"/>
      <c r="AT67" s="16816"/>
      <c r="AU67" s="16816"/>
      <c r="AV67" s="16816"/>
      <c r="AW67" s="16817"/>
      <c r="AX67" s="16815"/>
      <c r="AY67" s="16816"/>
      <c r="AZ67" s="16816"/>
      <c r="BA67" s="16816"/>
      <c r="BB67" s="16816"/>
      <c r="BC67" s="16816"/>
      <c r="BD67" s="16817"/>
      <c r="BE67" s="16815"/>
      <c r="BF67" s="16816"/>
      <c r="BG67" s="16816"/>
      <c r="BH67" s="16816"/>
      <c r="BI67" s="16816"/>
      <c r="BJ67" s="16816"/>
      <c r="BK67" s="16817"/>
      <c r="BL67" s="16817"/>
      <c r="BM67" s="16818" t="s">
        <v>593</v>
      </c>
      <c r="BN67" s="16819"/>
      <c r="BO67" s="16820"/>
      <c r="BP67" s="16820" t="str">
        <f>IF(T67="","",T67)</f>
        <v>Наименование централизованной системы холодного водоснабжения</v>
      </c>
      <c r="BQ67" s="16820"/>
      <c r="BR67" s="16820"/>
      <c r="BS67" s="16821">
        <v>0</v>
      </c>
    </row>
    <row s="23419" customFormat="1" customHeight="1" ht="23.25">
      <c r="A68" s="16804"/>
      <c r="B68" s="16804"/>
      <c r="C68" s="16804"/>
      <c r="D68" s="16804"/>
      <c r="E68" s="16805"/>
      <c r="F68" s="16805"/>
      <c r="G68" s="16805" t="s">
        <v>90</v>
      </c>
      <c r="H68" s="16805"/>
      <c r="I68" s="16823" t="str">
        <f>S67&amp;".1"</f>
        <v>1.1.4.1</v>
      </c>
      <c r="J68" s="16804"/>
      <c r="K68" s="16804"/>
      <c r="L68" s="16807"/>
      <c r="M68" s="16824"/>
      <c r="N68" s="16824"/>
      <c r="O68" s="16824"/>
      <c r="P68" s="16825">
        <v>1</v>
      </c>
      <c r="Q68" s="16825"/>
      <c r="R68" s="16826"/>
      <c r="S68" s="16812" t="str">
        <f>$I68</f>
        <v>1.1.4.1</v>
      </c>
      <c r="T68" s="16827" t="s">
        <v>594</v>
      </c>
      <c r="U68" s="16814"/>
      <c r="V68" s="16828"/>
      <c r="W68" s="16829"/>
      <c r="X68" s="16829"/>
      <c r="Y68" s="16829"/>
      <c r="Z68" s="16829"/>
      <c r="AA68" s="16829"/>
      <c r="AB68" s="16830"/>
      <c r="AC68" s="16831"/>
      <c r="AD68" s="16832"/>
      <c r="AE68" s="16832"/>
      <c r="AF68" s="16832"/>
      <c r="AG68" s="16832"/>
      <c r="AH68" s="16832"/>
      <c r="AI68" s="16832"/>
      <c r="AJ68" s="16828"/>
      <c r="AK68" s="16829"/>
      <c r="AL68" s="16829"/>
      <c r="AM68" s="16829"/>
      <c r="AN68" s="16829"/>
      <c r="AO68" s="16829"/>
      <c r="AP68" s="16830"/>
      <c r="AQ68" s="16828"/>
      <c r="AR68" s="16829"/>
      <c r="AS68" s="16829"/>
      <c r="AT68" s="16829"/>
      <c r="AU68" s="16829"/>
      <c r="AV68" s="16829"/>
      <c r="AW68" s="16830"/>
      <c r="AX68" s="16828"/>
      <c r="AY68" s="16829"/>
      <c r="AZ68" s="16829"/>
      <c r="BA68" s="16829"/>
      <c r="BB68" s="16829"/>
      <c r="BC68" s="16829"/>
      <c r="BD68" s="16830"/>
      <c r="BE68" s="16828"/>
      <c r="BF68" s="16829"/>
      <c r="BG68" s="16829"/>
      <c r="BH68" s="16829"/>
      <c r="BI68" s="16829"/>
      <c r="BJ68" s="16829"/>
      <c r="BK68" s="16830"/>
      <c r="BL68" s="16833"/>
      <c r="BM68" s="16818" t="s">
        <v>595</v>
      </c>
      <c r="BN68" s="16819"/>
      <c r="BO68" s="16820"/>
      <c r="BP68" s="16820" t="str">
        <f>IF(T68="","",T68)</f>
        <v>Наименование признака дифференциации</v>
      </c>
      <c r="BQ68" s="16820"/>
      <c r="BR68" s="16820"/>
      <c r="BS68" s="16821">
        <v>0</v>
      </c>
    </row>
    <row s="23420" customFormat="1" customHeight="1" ht="23.25">
      <c r="A69" s="16804"/>
      <c r="B69" s="16804"/>
      <c r="C69" s="16804"/>
      <c r="D69" s="16804"/>
      <c r="E69" s="16805"/>
      <c r="F69" s="16805"/>
      <c r="G69" s="16805" t="s">
        <v>90</v>
      </c>
      <c r="H69" s="16805"/>
      <c r="I69" s="16835"/>
      <c r="J69" s="16823" t="str">
        <f>I68&amp;".1"</f>
        <v>1.1.4.1.1</v>
      </c>
      <c r="K69" s="16804"/>
      <c r="L69" s="16807" t="s">
        <v>520</v>
      </c>
      <c r="M69" s="16824"/>
      <c r="N69" s="16824"/>
      <c r="O69" s="16824"/>
      <c r="P69" s="16825"/>
      <c r="Q69" s="16825">
        <v>1</v>
      </c>
      <c r="R69" s="16836"/>
      <c r="S69" s="16812" t="str">
        <f>$J69</f>
        <v>1.1.4.1.1</v>
      </c>
      <c r="T69" s="16837" t="s">
        <v>521</v>
      </c>
      <c r="U69" s="16814"/>
      <c r="V69" s="16838"/>
      <c r="W69" s="16839"/>
      <c r="X69" s="16839"/>
      <c r="Y69" s="16839"/>
      <c r="Z69" s="16839"/>
      <c r="AA69" s="16839"/>
      <c r="AB69" s="16840"/>
      <c r="AC69" s="16838" t="s">
        <v>607</v>
      </c>
      <c r="AD69" s="16839"/>
      <c r="AE69" s="16839"/>
      <c r="AF69" s="16839"/>
      <c r="AG69" s="16839"/>
      <c r="AH69" s="16839"/>
      <c r="AI69" s="16839"/>
      <c r="AJ69" s="16838"/>
      <c r="AK69" s="16839"/>
      <c r="AL69" s="16839"/>
      <c r="AM69" s="16839"/>
      <c r="AN69" s="16839"/>
      <c r="AO69" s="16839"/>
      <c r="AP69" s="16840"/>
      <c r="AQ69" s="16838"/>
      <c r="AR69" s="16839"/>
      <c r="AS69" s="16839"/>
      <c r="AT69" s="16839"/>
      <c r="AU69" s="16839"/>
      <c r="AV69" s="16839"/>
      <c r="AW69" s="16840"/>
      <c r="AX69" s="16838"/>
      <c r="AY69" s="16839"/>
      <c r="AZ69" s="16839"/>
      <c r="BA69" s="16839"/>
      <c r="BB69" s="16839"/>
      <c r="BC69" s="16839"/>
      <c r="BD69" s="16840"/>
      <c r="BE69" s="16838"/>
      <c r="BF69" s="16839"/>
      <c r="BG69" s="16839"/>
      <c r="BH69" s="16839"/>
      <c r="BI69" s="16839"/>
      <c r="BJ69" s="16839"/>
      <c r="BK69" s="16840"/>
      <c r="BL69" s="16840"/>
      <c r="BM69" s="16841" t="s">
        <v>596</v>
      </c>
      <c r="BN69" s="16819"/>
      <c r="BO69" s="16820"/>
      <c r="BP69" s="16820" t="str">
        <f>IF(T69="","",T69)</f>
        <v>Группа потребителей</v>
      </c>
      <c r="BQ69" s="16820"/>
      <c r="BR69" s="16820"/>
      <c r="BS69" s="16821">
        <v>0</v>
      </c>
    </row>
    <row s="23421" customFormat="1" customHeight="1" ht="23.25">
      <c r="A70" s="16804"/>
      <c r="B70" s="16804"/>
      <c r="C70" s="16804"/>
      <c r="D70" s="16804"/>
      <c r="E70" s="16805"/>
      <c r="F70" s="16805"/>
      <c r="G70" s="16805" t="s">
        <v>90</v>
      </c>
      <c r="H70" s="16805"/>
      <c r="I70" s="16835"/>
      <c r="J70" s="16835"/>
      <c r="K70" s="16823" t="str">
        <f>J69&amp;".1"</f>
        <v>1.1.4.1.1.1</v>
      </c>
      <c r="L70" s="16807"/>
      <c r="M70" s="16824"/>
      <c r="N70" s="16824"/>
      <c r="O70" s="16824"/>
      <c r="P70" s="16825"/>
      <c r="Q70" s="16825"/>
      <c r="R70" s="16836">
        <v>1</v>
      </c>
      <c r="S70" s="16812" t="str">
        <f>$K70</f>
        <v>1.1.4.1.1.1</v>
      </c>
      <c r="T70" s="16843" t="s">
        <v>590</v>
      </c>
      <c r="U70" s="16814"/>
      <c r="V70" s="16708"/>
      <c r="W70" s="16708"/>
      <c r="X70" s="16709"/>
      <c r="Y70" s="16710"/>
      <c r="Z70" s="16711" t="s">
        <v>66</v>
      </c>
      <c r="AA70" s="16710"/>
      <c r="AB70" s="16711" t="s">
        <v>66</v>
      </c>
      <c r="AC70" s="16844">
        <v>30.17</v>
      </c>
      <c r="AD70" s="16844"/>
      <c r="AE70" s="16845"/>
      <c r="AF70" s="16846">
        <v>45658.48640046296</v>
      </c>
      <c r="AG70" s="16847" t="s">
        <v>66</v>
      </c>
      <c r="AH70" s="16712">
        <v>46022.48653935185</v>
      </c>
      <c r="AI70" s="16847" t="s">
        <v>66</v>
      </c>
      <c r="AJ70" s="16844">
        <v>28.86</v>
      </c>
      <c r="AK70" s="16844"/>
      <c r="AL70" s="16845"/>
      <c r="AM70" s="16846">
        <v>46023.49288194445</v>
      </c>
      <c r="AN70" s="16847" t="s">
        <v>66</v>
      </c>
      <c r="AO70" s="16846">
        <v>46387.49321759259</v>
      </c>
      <c r="AP70" s="16847" t="s">
        <v>66</v>
      </c>
      <c r="AQ70" s="16844">
        <v>29.71</v>
      </c>
      <c r="AR70" s="16844"/>
      <c r="AS70" s="16845"/>
      <c r="AT70" s="16846">
        <v>46388.499548611115</v>
      </c>
      <c r="AU70" s="16847" t="s">
        <v>66</v>
      </c>
      <c r="AV70" s="16846">
        <v>46752.49969907408</v>
      </c>
      <c r="AW70" s="16847" t="s">
        <v>66</v>
      </c>
      <c r="AX70" s="16844">
        <v>30.59</v>
      </c>
      <c r="AY70" s="16844"/>
      <c r="AZ70" s="16845"/>
      <c r="BA70" s="16846">
        <v>46753.500243055554</v>
      </c>
      <c r="BB70" s="16847" t="s">
        <v>66</v>
      </c>
      <c r="BC70" s="16846">
        <v>47118.50069444445</v>
      </c>
      <c r="BD70" s="16847" t="s">
        <v>19</v>
      </c>
      <c r="BE70" s="16708"/>
      <c r="BF70" s="16708"/>
      <c r="BG70" s="16709"/>
      <c r="BH70" s="16710"/>
      <c r="BI70" s="16711" t="s">
        <v>66</v>
      </c>
      <c r="BJ70" s="16710"/>
      <c r="BK70" s="16711" t="s">
        <v>66</v>
      </c>
      <c r="BL70" s="16848"/>
      <c r="BM70"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0" s="16819">
        <f>STRCHECKDATE(V71:BL71)</f>
      </c>
      <c r="BO70" s="16820"/>
      <c r="BP70" s="16820" t="str">
        <f>IF(T70="","",T70)</f>
        <v>без НДС</v>
      </c>
      <c r="BQ70" s="16820"/>
      <c r="BR70" s="16820"/>
      <c r="BS70" s="16821">
        <v>0</v>
      </c>
    </row>
    <row s="23422" customFormat="1" customHeight="1" ht="14.25">
      <c r="A71" s="16804"/>
      <c r="B71" s="16804"/>
      <c r="C71" s="16804"/>
      <c r="D71" s="16804"/>
      <c r="E71" s="16805"/>
      <c r="F71" s="16805"/>
      <c r="G71" s="16805" t="s">
        <v>90</v>
      </c>
      <c r="H71" s="16805"/>
      <c r="I71" s="16835"/>
      <c r="J71" s="16835"/>
      <c r="K71" s="16823"/>
      <c r="L71" s="16807"/>
      <c r="M71" s="16824"/>
      <c r="N71" s="16824"/>
      <c r="O71" s="16824"/>
      <c r="P71" s="16825"/>
      <c r="Q71" s="16825"/>
      <c r="R71" s="16836"/>
      <c r="S71" s="16851"/>
      <c r="T71" s="16814"/>
      <c r="U71" s="16814"/>
      <c r="V71" s="16708"/>
      <c r="W71" s="16708"/>
      <c r="X71" s="16716" t="str">
        <f>Y70&amp;"-"&amp;AA70</f>
        <v>-</v>
      </c>
      <c r="Y71" s="16711"/>
      <c r="Z71" s="16711"/>
      <c r="AA71" s="16711"/>
      <c r="AB71" s="16711"/>
      <c r="AC71" s="16852"/>
      <c r="AD71" s="16852"/>
      <c r="AE71" s="16716" t="str">
        <f>AF70&amp;"-"&amp;AH70</f>
        <v>45658.48640046296-46022.48653935185</v>
      </c>
      <c r="AF71" s="16853"/>
      <c r="AG71" s="16847"/>
      <c r="AH71" s="16854"/>
      <c r="AI71" s="16847"/>
      <c r="AJ71" s="16852"/>
      <c r="AK71" s="16852"/>
      <c r="AL71" s="16716" t="str">
        <f>AM70&amp;"-"&amp;AO70</f>
        <v>46023.49288194445-46387.49321759259</v>
      </c>
      <c r="AM71" s="16853"/>
      <c r="AN71" s="16847"/>
      <c r="AO71" s="16853"/>
      <c r="AP71" s="16847"/>
      <c r="AQ71" s="16852"/>
      <c r="AR71" s="16852"/>
      <c r="AS71" s="16716" t="str">
        <f>AT70&amp;"-"&amp;AV70</f>
        <v>46388.499548611115-46752.49969907408</v>
      </c>
      <c r="AT71" s="16853"/>
      <c r="AU71" s="16847"/>
      <c r="AV71" s="16853"/>
      <c r="AW71" s="16847"/>
      <c r="AX71" s="16852"/>
      <c r="AY71" s="16852"/>
      <c r="AZ71" s="16716" t="str">
        <f>BA70&amp;"-"&amp;BC70</f>
        <v>46753.500243055554-47118.50069444445</v>
      </c>
      <c r="BA71" s="16853"/>
      <c r="BB71" s="16847"/>
      <c r="BC71" s="16853"/>
      <c r="BD71" s="16847"/>
      <c r="BE71" s="16708"/>
      <c r="BF71" s="16708"/>
      <c r="BG71" s="16716" t="str">
        <f>BH70&amp;"-"&amp;BJ70</f>
        <v>-</v>
      </c>
      <c r="BH71" s="16711"/>
      <c r="BI71" s="16711"/>
      <c r="BJ71" s="16711"/>
      <c r="BK71" s="16711"/>
      <c r="BL71" s="16855"/>
      <c r="BM71" s="16849"/>
      <c r="BN71" s="16819"/>
      <c r="BO71" s="16820"/>
      <c r="BP71" s="16820" t="str">
        <f>IF(T71="","",T71)</f>
        <v/>
      </c>
      <c r="BQ71" s="16820"/>
      <c r="BR71" s="16820"/>
      <c r="BS71" s="16821">
        <v>0</v>
      </c>
    </row>
    <row s="23423" customFormat="1" customHeight="1" ht="21">
      <c r="A72" s="16804"/>
      <c r="B72" s="16804"/>
      <c r="C72" s="16804"/>
      <c r="D72" s="16804"/>
      <c r="E72" s="16805"/>
      <c r="F72" s="16805"/>
      <c r="G72" s="16805" t="s">
        <v>90</v>
      </c>
      <c r="H72" s="16805"/>
      <c r="I72" s="16835"/>
      <c r="J72" s="16823"/>
      <c r="K72" s="16804"/>
      <c r="L72" s="16807"/>
      <c r="M72" s="16824"/>
      <c r="N72" s="16824"/>
      <c r="O72" s="16824"/>
      <c r="P72" s="16825"/>
      <c r="Q72" s="16825"/>
      <c r="R72" s="16826"/>
      <c r="S72" s="17157"/>
      <c r="T72" s="17158" t="s">
        <v>597</v>
      </c>
      <c r="U72" s="17159"/>
      <c r="V72" s="17160"/>
      <c r="W72" s="17161"/>
      <c r="X72" s="17162"/>
      <c r="Y72" s="17163"/>
      <c r="Z72" s="17164"/>
      <c r="AA72" s="17165"/>
      <c r="AB72" s="17166"/>
      <c r="AC72" s="17167"/>
      <c r="AD72" s="17168"/>
      <c r="AE72" s="17169"/>
      <c r="AF72" s="17170"/>
      <c r="AG72" s="17171"/>
      <c r="AH72" s="17172"/>
      <c r="AI72" s="17173"/>
      <c r="AJ72" s="17174"/>
      <c r="AK72" s="17175"/>
      <c r="AL72" s="17176"/>
      <c r="AM72" s="17177"/>
      <c r="AN72" s="17178"/>
      <c r="AO72" s="17179"/>
      <c r="AP72" s="17180"/>
      <c r="AQ72" s="17181"/>
      <c r="AR72" s="17182"/>
      <c r="AS72" s="17183"/>
      <c r="AT72" s="17184"/>
      <c r="AU72" s="17185"/>
      <c r="AV72" s="17186"/>
      <c r="AW72" s="17187"/>
      <c r="AX72" s="17188"/>
      <c r="AY72" s="17189"/>
      <c r="AZ72" s="17190"/>
      <c r="BA72" s="17191"/>
      <c r="BB72" s="17192"/>
      <c r="BC72" s="17193"/>
      <c r="BD72" s="17194"/>
      <c r="BE72" s="17195"/>
      <c r="BF72" s="17196"/>
      <c r="BG72" s="17197"/>
      <c r="BH72" s="17198"/>
      <c r="BI72" s="17199"/>
      <c r="BJ72" s="17200"/>
      <c r="BK72" s="17201"/>
      <c r="BL72" s="17202"/>
      <c r="BM72" s="16818" t="s">
        <v>598</v>
      </c>
      <c r="BN72" s="16819"/>
      <c r="BO72" s="16820"/>
      <c r="BP72" s="16820" t="str">
        <f>IF(T72="","",T72)</f>
        <v>Добавить значение признака дифференциации</v>
      </c>
      <c r="BQ72" s="16820"/>
      <c r="BR72" s="16820"/>
      <c r="BS72" s="16821">
        <v>0</v>
      </c>
    </row>
    <row s="23470" customFormat="1" customHeight="1" ht="21">
      <c r="A73" s="16804"/>
      <c r="B73" s="16804"/>
      <c r="C73" s="16804"/>
      <c r="D73" s="16804"/>
      <c r="E73" s="16805"/>
      <c r="F73" s="16805"/>
      <c r="G73" s="16805" t="s">
        <v>90</v>
      </c>
      <c r="H73" s="16805"/>
      <c r="I73" s="16823"/>
      <c r="J73" s="16804"/>
      <c r="K73" s="16804"/>
      <c r="L73" s="16807"/>
      <c r="M73" s="16824"/>
      <c r="N73" s="16824"/>
      <c r="O73" s="16824"/>
      <c r="P73" s="16825"/>
      <c r="Q73" s="16825"/>
      <c r="R73" s="16826"/>
      <c r="S73" s="17204"/>
      <c r="T73" s="17205" t="s">
        <v>526</v>
      </c>
      <c r="U73" s="17206"/>
      <c r="V73" s="17207"/>
      <c r="W73" s="17208"/>
      <c r="X73" s="17209"/>
      <c r="Y73" s="17210"/>
      <c r="Z73" s="17211"/>
      <c r="AA73" s="17212"/>
      <c r="AB73" s="17213"/>
      <c r="AC73" s="17214"/>
      <c r="AD73" s="17215"/>
      <c r="AE73" s="17216"/>
      <c r="AF73" s="17217"/>
      <c r="AG73" s="17218"/>
      <c r="AH73" s="17219"/>
      <c r="AI73" s="17220"/>
      <c r="AJ73" s="17221"/>
      <c r="AK73" s="17222"/>
      <c r="AL73" s="17223"/>
      <c r="AM73" s="17224"/>
      <c r="AN73" s="17225"/>
      <c r="AO73" s="17226"/>
      <c r="AP73" s="17227"/>
      <c r="AQ73" s="17228"/>
      <c r="AR73" s="17229"/>
      <c r="AS73" s="17230"/>
      <c r="AT73" s="17231"/>
      <c r="AU73" s="17232"/>
      <c r="AV73" s="17233"/>
      <c r="AW73" s="17234"/>
      <c r="AX73" s="17235"/>
      <c r="AY73" s="17236"/>
      <c r="AZ73" s="17237"/>
      <c r="BA73" s="17238"/>
      <c r="BB73" s="17239"/>
      <c r="BC73" s="17240"/>
      <c r="BD73" s="17241"/>
      <c r="BE73" s="17242"/>
      <c r="BF73" s="17243"/>
      <c r="BG73" s="17244"/>
      <c r="BH73" s="17245"/>
      <c r="BI73" s="17246"/>
      <c r="BJ73" s="17247"/>
      <c r="BK73" s="17248"/>
      <c r="BL73" s="17249"/>
      <c r="BM73" s="17250"/>
      <c r="BN73" s="16819"/>
      <c r="BO73" s="16820"/>
      <c r="BP73" s="16820" t="str">
        <f>IF(T73="","",T73)</f>
        <v>Добавить группу потребителей</v>
      </c>
      <c r="BQ73" s="16820"/>
      <c r="BR73" s="16820"/>
      <c r="BS73" s="16821">
        <v>0</v>
      </c>
    </row>
    <row s="23518" customFormat="1" customHeight="1" ht="14.25">
      <c r="A74" s="16804"/>
      <c r="B74" s="16804"/>
      <c r="C74" s="16804"/>
      <c r="D74" s="16804"/>
      <c r="E74" s="16805"/>
      <c r="F74" s="16805"/>
      <c r="G74" s="16805" t="s">
        <v>90</v>
      </c>
      <c r="H74" s="16806"/>
      <c r="I74" s="16804"/>
      <c r="J74" s="16804"/>
      <c r="K74" s="16804"/>
      <c r="L74" s="16807"/>
      <c r="M74" s="16808"/>
      <c r="N74" s="16808"/>
      <c r="O74" s="16952"/>
      <c r="P74" s="16953"/>
      <c r="Q74" s="16954"/>
      <c r="R74" s="16955"/>
      <c r="S74" s="17252"/>
      <c r="T74" s="17253" t="s">
        <v>599</v>
      </c>
      <c r="U74" s="17254"/>
      <c r="V74" s="17255"/>
      <c r="W74" s="17256"/>
      <c r="X74" s="17257"/>
      <c r="Y74" s="17258"/>
      <c r="Z74" s="17259"/>
      <c r="AA74" s="17260"/>
      <c r="AB74" s="17261"/>
      <c r="AC74" s="17262"/>
      <c r="AD74" s="17263"/>
      <c r="AE74" s="17264"/>
      <c r="AF74" s="17265"/>
      <c r="AG74" s="17266"/>
      <c r="AH74" s="17267"/>
      <c r="AI74" s="17268"/>
      <c r="AJ74" s="17269"/>
      <c r="AK74" s="17270"/>
      <c r="AL74" s="17271"/>
      <c r="AM74" s="17272"/>
      <c r="AN74" s="17273"/>
      <c r="AO74" s="17274"/>
      <c r="AP74" s="17275"/>
      <c r="AQ74" s="17276"/>
      <c r="AR74" s="17277"/>
      <c r="AS74" s="17278"/>
      <c r="AT74" s="17279"/>
      <c r="AU74" s="17280"/>
      <c r="AV74" s="17281"/>
      <c r="AW74" s="17282"/>
      <c r="AX74" s="17283"/>
      <c r="AY74" s="17284"/>
      <c r="AZ74" s="17285"/>
      <c r="BA74" s="17286"/>
      <c r="BB74" s="17287"/>
      <c r="BC74" s="17288"/>
      <c r="BD74" s="17289"/>
      <c r="BE74" s="17290"/>
      <c r="BF74" s="17291"/>
      <c r="BG74" s="17292"/>
      <c r="BH74" s="17293"/>
      <c r="BI74" s="17294"/>
      <c r="BJ74" s="17295"/>
      <c r="BK74" s="17296"/>
      <c r="BL74" s="17297"/>
      <c r="BM74" s="17298"/>
      <c r="BN74" s="16819"/>
      <c r="BO74" s="16820"/>
      <c r="BP74" s="16820" t="str">
        <f>IF(T74="","",T74)</f>
        <v>Добавить наименование признака дифференциации</v>
      </c>
      <c r="BQ74" s="16820"/>
      <c r="BR74" s="16820"/>
      <c r="BS74" s="16821">
        <v>0</v>
      </c>
    </row>
    <row s="23566" customFormat="1" customHeight="1" ht="23.25">
      <c r="A75" s="16804"/>
      <c r="B75" s="16804"/>
      <c r="C75" s="16804" t="s">
        <v>278</v>
      </c>
      <c r="D75" s="16804"/>
      <c r="E75" s="16805"/>
      <c r="F75" s="16805"/>
      <c r="G75" s="16806" t="s">
        <v>116</v>
      </c>
      <c r="H75" s="16804"/>
      <c r="I75" s="16804"/>
      <c r="J75" s="16804"/>
      <c r="K75" s="16804"/>
      <c r="L75" s="16807"/>
      <c r="M75" s="16808"/>
      <c r="N75" s="16808"/>
      <c r="O75" s="16808"/>
      <c r="P75" s="16809"/>
      <c r="Q75" s="16810"/>
      <c r="R75" s="16811"/>
      <c r="S75" s="16812" t="str">
        <f>INDEX(PT_DIFFERENTIATION_NUM_CS,MATCH(C75,PT_DIFFERENTIATION_CS_ID,0))</f>
        <v>1.1.5</v>
      </c>
      <c r="T75" s="16813" t="s">
        <v>592</v>
      </c>
      <c r="U75" s="16814"/>
      <c r="V75" s="16815"/>
      <c r="W75" s="16816"/>
      <c r="X75" s="16816"/>
      <c r="Y75" s="16816"/>
      <c r="Z75" s="16816"/>
      <c r="AA75" s="16816"/>
      <c r="AB75" s="16817"/>
      <c r="AC75" s="16815" t="str">
        <f>INDEX(PT_DIFFERENTIATION_CS,MATCH(C75,PT_DIFFERENTIATION_CS_ID,0))</f>
        <v>пгт. Приморский</v>
      </c>
      <c r="AD75" s="16816"/>
      <c r="AE75" s="16816"/>
      <c r="AF75" s="16816"/>
      <c r="AG75" s="16816"/>
      <c r="AH75" s="16816"/>
      <c r="AI75" s="16816"/>
      <c r="AJ75" s="16815"/>
      <c r="AK75" s="16816"/>
      <c r="AL75" s="16816"/>
      <c r="AM75" s="16816"/>
      <c r="AN75" s="16816"/>
      <c r="AO75" s="16816"/>
      <c r="AP75" s="16817"/>
      <c r="AQ75" s="16815"/>
      <c r="AR75" s="16816"/>
      <c r="AS75" s="16816"/>
      <c r="AT75" s="16816"/>
      <c r="AU75" s="16816"/>
      <c r="AV75" s="16816"/>
      <c r="AW75" s="16817"/>
      <c r="AX75" s="16815"/>
      <c r="AY75" s="16816"/>
      <c r="AZ75" s="16816"/>
      <c r="BA75" s="16816"/>
      <c r="BB75" s="16816"/>
      <c r="BC75" s="16816"/>
      <c r="BD75" s="16817"/>
      <c r="BE75" s="16815"/>
      <c r="BF75" s="16816"/>
      <c r="BG75" s="16816"/>
      <c r="BH75" s="16816"/>
      <c r="BI75" s="16816"/>
      <c r="BJ75" s="16816"/>
      <c r="BK75" s="16817"/>
      <c r="BL75" s="16817"/>
      <c r="BM75" s="16818" t="s">
        <v>593</v>
      </c>
      <c r="BN75" s="16819"/>
      <c r="BO75" s="16820"/>
      <c r="BP75" s="16820" t="str">
        <f>IF(T75="","",T75)</f>
        <v>Наименование централизованной системы холодного водоснабжения</v>
      </c>
      <c r="BQ75" s="16820"/>
      <c r="BR75" s="16820"/>
      <c r="BS75" s="16821">
        <v>0</v>
      </c>
    </row>
    <row s="23567" customFormat="1" customHeight="1" ht="23.25">
      <c r="A76" s="16804"/>
      <c r="B76" s="16804"/>
      <c r="C76" s="16804"/>
      <c r="D76" s="16804"/>
      <c r="E76" s="16805"/>
      <c r="F76" s="16805"/>
      <c r="G76" s="16805" t="s">
        <v>91</v>
      </c>
      <c r="H76" s="16805"/>
      <c r="I76" s="16823" t="str">
        <f>S75&amp;".1"</f>
        <v>1.1.5.1</v>
      </c>
      <c r="J76" s="16804"/>
      <c r="K76" s="16804"/>
      <c r="L76" s="16807"/>
      <c r="M76" s="16824"/>
      <c r="N76" s="16824"/>
      <c r="O76" s="16824"/>
      <c r="P76" s="16825">
        <v>1</v>
      </c>
      <c r="Q76" s="16825"/>
      <c r="R76" s="16826"/>
      <c r="S76" s="16812" t="str">
        <f>$I76</f>
        <v>1.1.5.1</v>
      </c>
      <c r="T76" s="16827" t="s">
        <v>594</v>
      </c>
      <c r="U76" s="16814"/>
      <c r="V76" s="16828"/>
      <c r="W76" s="16829"/>
      <c r="X76" s="16829"/>
      <c r="Y76" s="16829"/>
      <c r="Z76" s="16829"/>
      <c r="AA76" s="16829"/>
      <c r="AB76" s="16830"/>
      <c r="AC76" s="16831"/>
      <c r="AD76" s="16832"/>
      <c r="AE76" s="16832"/>
      <c r="AF76" s="16832"/>
      <c r="AG76" s="16832"/>
      <c r="AH76" s="16832"/>
      <c r="AI76" s="16832"/>
      <c r="AJ76" s="16828"/>
      <c r="AK76" s="16829"/>
      <c r="AL76" s="16829"/>
      <c r="AM76" s="16829"/>
      <c r="AN76" s="16829"/>
      <c r="AO76" s="16829"/>
      <c r="AP76" s="16830"/>
      <c r="AQ76" s="16828"/>
      <c r="AR76" s="16829"/>
      <c r="AS76" s="16829"/>
      <c r="AT76" s="16829"/>
      <c r="AU76" s="16829"/>
      <c r="AV76" s="16829"/>
      <c r="AW76" s="16830"/>
      <c r="AX76" s="16828"/>
      <c r="AY76" s="16829"/>
      <c r="AZ76" s="16829"/>
      <c r="BA76" s="16829"/>
      <c r="BB76" s="16829"/>
      <c r="BC76" s="16829"/>
      <c r="BD76" s="16830"/>
      <c r="BE76" s="16828"/>
      <c r="BF76" s="16829"/>
      <c r="BG76" s="16829"/>
      <c r="BH76" s="16829"/>
      <c r="BI76" s="16829"/>
      <c r="BJ76" s="16829"/>
      <c r="BK76" s="16830"/>
      <c r="BL76" s="16833"/>
      <c r="BM76" s="16818" t="s">
        <v>595</v>
      </c>
      <c r="BN76" s="16819"/>
      <c r="BO76" s="16820"/>
      <c r="BP76" s="16820" t="str">
        <f>IF(T76="","",T76)</f>
        <v>Наименование признака дифференциации</v>
      </c>
      <c r="BQ76" s="16820"/>
      <c r="BR76" s="16820"/>
      <c r="BS76" s="16821">
        <v>0</v>
      </c>
    </row>
    <row s="23568" customFormat="1" customHeight="1" ht="23.25">
      <c r="A77" s="16804"/>
      <c r="B77" s="16804"/>
      <c r="C77" s="16804"/>
      <c r="D77" s="16804"/>
      <c r="E77" s="16805"/>
      <c r="F77" s="16805"/>
      <c r="G77" s="16805" t="s">
        <v>91</v>
      </c>
      <c r="H77" s="16805"/>
      <c r="I77" s="16835"/>
      <c r="J77" s="16823" t="str">
        <f>I76&amp;".1"</f>
        <v>1.1.5.1.1</v>
      </c>
      <c r="K77" s="16804"/>
      <c r="L77" s="16807" t="s">
        <v>520</v>
      </c>
      <c r="M77" s="16824"/>
      <c r="N77" s="16824"/>
      <c r="O77" s="16824"/>
      <c r="P77" s="16825"/>
      <c r="Q77" s="16825">
        <v>1</v>
      </c>
      <c r="R77" s="16836"/>
      <c r="S77" s="16812" t="str">
        <f>$J77</f>
        <v>1.1.5.1.1</v>
      </c>
      <c r="T77" s="16837" t="s">
        <v>521</v>
      </c>
      <c r="U77" s="16814"/>
      <c r="V77" s="16838"/>
      <c r="W77" s="16839"/>
      <c r="X77" s="16839"/>
      <c r="Y77" s="16839"/>
      <c r="Z77" s="16839"/>
      <c r="AA77" s="16839"/>
      <c r="AB77" s="16840"/>
      <c r="AC77" s="16838" t="s">
        <v>607</v>
      </c>
      <c r="AD77" s="16839"/>
      <c r="AE77" s="16839"/>
      <c r="AF77" s="16839"/>
      <c r="AG77" s="16839"/>
      <c r="AH77" s="16839"/>
      <c r="AI77" s="16839"/>
      <c r="AJ77" s="16838"/>
      <c r="AK77" s="16839"/>
      <c r="AL77" s="16839"/>
      <c r="AM77" s="16839"/>
      <c r="AN77" s="16839"/>
      <c r="AO77" s="16839"/>
      <c r="AP77" s="16840"/>
      <c r="AQ77" s="16838"/>
      <c r="AR77" s="16839"/>
      <c r="AS77" s="16839"/>
      <c r="AT77" s="16839"/>
      <c r="AU77" s="16839"/>
      <c r="AV77" s="16839"/>
      <c r="AW77" s="16840"/>
      <c r="AX77" s="16838"/>
      <c r="AY77" s="16839"/>
      <c r="AZ77" s="16839"/>
      <c r="BA77" s="16839"/>
      <c r="BB77" s="16839"/>
      <c r="BC77" s="16839"/>
      <c r="BD77" s="16840"/>
      <c r="BE77" s="16838"/>
      <c r="BF77" s="16839"/>
      <c r="BG77" s="16839"/>
      <c r="BH77" s="16839"/>
      <c r="BI77" s="16839"/>
      <c r="BJ77" s="16839"/>
      <c r="BK77" s="16840"/>
      <c r="BL77" s="16840"/>
      <c r="BM77" s="16841" t="s">
        <v>596</v>
      </c>
      <c r="BN77" s="16819"/>
      <c r="BO77" s="16820"/>
      <c r="BP77" s="16820" t="str">
        <f>IF(T77="","",T77)</f>
        <v>Группа потребителей</v>
      </c>
      <c r="BQ77" s="16820"/>
      <c r="BR77" s="16820"/>
      <c r="BS77" s="16821">
        <v>0</v>
      </c>
    </row>
    <row s="23569" customFormat="1" customHeight="1" ht="23.25">
      <c r="A78" s="16804"/>
      <c r="B78" s="16804"/>
      <c r="C78" s="16804"/>
      <c r="D78" s="16804"/>
      <c r="E78" s="16805"/>
      <c r="F78" s="16805"/>
      <c r="G78" s="16805" t="s">
        <v>91</v>
      </c>
      <c r="H78" s="16805"/>
      <c r="I78" s="16835"/>
      <c r="J78" s="16835"/>
      <c r="K78" s="16823" t="str">
        <f>J77&amp;".1"</f>
        <v>1.1.5.1.1.1</v>
      </c>
      <c r="L78" s="16807"/>
      <c r="M78" s="16824"/>
      <c r="N78" s="16824"/>
      <c r="O78" s="16824"/>
      <c r="P78" s="16825"/>
      <c r="Q78" s="16825"/>
      <c r="R78" s="16836">
        <v>1</v>
      </c>
      <c r="S78" s="16812" t="str">
        <f>$K78</f>
        <v>1.1.5.1.1.1</v>
      </c>
      <c r="T78" s="16843" t="s">
        <v>590</v>
      </c>
      <c r="U78" s="16814"/>
      <c r="V78" s="16708"/>
      <c r="W78" s="16708"/>
      <c r="X78" s="16709"/>
      <c r="Y78" s="16710"/>
      <c r="Z78" s="16711" t="s">
        <v>66</v>
      </c>
      <c r="AA78" s="16710"/>
      <c r="AB78" s="16711" t="s">
        <v>66</v>
      </c>
      <c r="AC78" s="16844">
        <v>41.24</v>
      </c>
      <c r="AD78" s="16844"/>
      <c r="AE78" s="16845"/>
      <c r="AF78" s="16846">
        <v>45658.48668981482</v>
      </c>
      <c r="AG78" s="16847" t="s">
        <v>66</v>
      </c>
      <c r="AH78" s="16712">
        <v>46022.486805555556</v>
      </c>
      <c r="AI78" s="16847" t="s">
        <v>66</v>
      </c>
      <c r="AJ78" s="16844">
        <v>39.4</v>
      </c>
      <c r="AK78" s="16844"/>
      <c r="AL78" s="16845"/>
      <c r="AM78" s="16846">
        <v>46023.49337962963</v>
      </c>
      <c r="AN78" s="16847" t="s">
        <v>66</v>
      </c>
      <c r="AO78" s="16846">
        <v>46387.49349537037</v>
      </c>
      <c r="AP78" s="16847" t="s">
        <v>66</v>
      </c>
      <c r="AQ78" s="16844">
        <v>40.56</v>
      </c>
      <c r="AR78" s="16844"/>
      <c r="AS78" s="16845"/>
      <c r="AT78" s="16846">
        <v>46388.50083333333</v>
      </c>
      <c r="AU78" s="16847" t="s">
        <v>66</v>
      </c>
      <c r="AV78" s="16846">
        <v>46752.50094907408</v>
      </c>
      <c r="AW78" s="16847" t="s">
        <v>66</v>
      </c>
      <c r="AX78" s="16844">
        <v>41.76</v>
      </c>
      <c r="AY78" s="16844"/>
      <c r="AZ78" s="16845"/>
      <c r="BA78" s="16846">
        <v>46753.50108796296</v>
      </c>
      <c r="BB78" s="16847" t="s">
        <v>66</v>
      </c>
      <c r="BC78" s="16846">
        <v>47118.501226851855</v>
      </c>
      <c r="BD78" s="16847" t="s">
        <v>19</v>
      </c>
      <c r="BE78" s="16708"/>
      <c r="BF78" s="16708"/>
      <c r="BG78" s="16709"/>
      <c r="BH78" s="16710"/>
      <c r="BI78" s="16711" t="s">
        <v>66</v>
      </c>
      <c r="BJ78" s="16710"/>
      <c r="BK78" s="16711" t="s">
        <v>66</v>
      </c>
      <c r="BL78" s="16848"/>
      <c r="BM78"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8" s="16819">
        <f>STRCHECKDATE(V79:BL79)</f>
      </c>
      <c r="BO78" s="16820"/>
      <c r="BP78" s="16820" t="str">
        <f>IF(T78="","",T78)</f>
        <v>без НДС</v>
      </c>
      <c r="BQ78" s="16820"/>
      <c r="BR78" s="16820"/>
      <c r="BS78" s="16821">
        <v>0</v>
      </c>
    </row>
    <row s="23570" customFormat="1" customHeight="1" ht="14.25">
      <c r="A79" s="16804"/>
      <c r="B79" s="16804"/>
      <c r="C79" s="16804"/>
      <c r="D79" s="16804"/>
      <c r="E79" s="16805"/>
      <c r="F79" s="16805"/>
      <c r="G79" s="16805" t="s">
        <v>91</v>
      </c>
      <c r="H79" s="16805"/>
      <c r="I79" s="16835"/>
      <c r="J79" s="16835"/>
      <c r="K79" s="16823"/>
      <c r="L79" s="16807"/>
      <c r="M79" s="16824"/>
      <c r="N79" s="16824"/>
      <c r="O79" s="16824"/>
      <c r="P79" s="16825"/>
      <c r="Q79" s="16825"/>
      <c r="R79" s="16836"/>
      <c r="S79" s="16851"/>
      <c r="T79" s="16814"/>
      <c r="U79" s="16814"/>
      <c r="V79" s="16708"/>
      <c r="W79" s="16708"/>
      <c r="X79" s="16716" t="str">
        <f>Y78&amp;"-"&amp;AA78</f>
        <v>-</v>
      </c>
      <c r="Y79" s="16711"/>
      <c r="Z79" s="16711"/>
      <c r="AA79" s="16711"/>
      <c r="AB79" s="16711"/>
      <c r="AC79" s="16852"/>
      <c r="AD79" s="16852"/>
      <c r="AE79" s="16716" t="str">
        <f>AF78&amp;"-"&amp;AH78</f>
        <v>45658.48668981482-46022.486805555556</v>
      </c>
      <c r="AF79" s="16853"/>
      <c r="AG79" s="16847"/>
      <c r="AH79" s="16854"/>
      <c r="AI79" s="16847"/>
      <c r="AJ79" s="16852"/>
      <c r="AK79" s="16852"/>
      <c r="AL79" s="16716" t="str">
        <f>AM78&amp;"-"&amp;AO78</f>
        <v>46023.49337962963-46387.49349537037</v>
      </c>
      <c r="AM79" s="16853"/>
      <c r="AN79" s="16847"/>
      <c r="AO79" s="16853"/>
      <c r="AP79" s="16847"/>
      <c r="AQ79" s="16852"/>
      <c r="AR79" s="16852"/>
      <c r="AS79" s="16716" t="str">
        <f>AT78&amp;"-"&amp;AV78</f>
        <v>46388.50083333333-46752.50094907408</v>
      </c>
      <c r="AT79" s="16853"/>
      <c r="AU79" s="16847"/>
      <c r="AV79" s="16853"/>
      <c r="AW79" s="16847"/>
      <c r="AX79" s="16852"/>
      <c r="AY79" s="16852"/>
      <c r="AZ79" s="16716" t="str">
        <f>BA78&amp;"-"&amp;BC78</f>
        <v>46753.50108796296-47118.501226851855</v>
      </c>
      <c r="BA79" s="16853"/>
      <c r="BB79" s="16847"/>
      <c r="BC79" s="16853"/>
      <c r="BD79" s="16847"/>
      <c r="BE79" s="16708"/>
      <c r="BF79" s="16708"/>
      <c r="BG79" s="16716" t="str">
        <f>BH78&amp;"-"&amp;BJ78</f>
        <v>-</v>
      </c>
      <c r="BH79" s="16711"/>
      <c r="BI79" s="16711"/>
      <c r="BJ79" s="16711"/>
      <c r="BK79" s="16711"/>
      <c r="BL79" s="16855"/>
      <c r="BM79" s="16849"/>
      <c r="BN79" s="16819"/>
      <c r="BO79" s="16820"/>
      <c r="BP79" s="16820" t="str">
        <f>IF(T79="","",T79)</f>
        <v/>
      </c>
      <c r="BQ79" s="16820"/>
      <c r="BR79" s="16820"/>
      <c r="BS79" s="16821">
        <v>0</v>
      </c>
    </row>
    <row s="23571" customFormat="1" customHeight="1" ht="21">
      <c r="A80" s="16804"/>
      <c r="B80" s="16804"/>
      <c r="C80" s="16804"/>
      <c r="D80" s="16804"/>
      <c r="E80" s="16805"/>
      <c r="F80" s="16805"/>
      <c r="G80" s="16805" t="s">
        <v>91</v>
      </c>
      <c r="H80" s="16805"/>
      <c r="I80" s="16835"/>
      <c r="J80" s="16823"/>
      <c r="K80" s="16804"/>
      <c r="L80" s="16807"/>
      <c r="M80" s="16824"/>
      <c r="N80" s="16824"/>
      <c r="O80" s="16824"/>
      <c r="P80" s="16825"/>
      <c r="Q80" s="16825"/>
      <c r="R80" s="16826"/>
      <c r="S80" s="17305"/>
      <c r="T80" s="17306" t="s">
        <v>597</v>
      </c>
      <c r="U80" s="17307"/>
      <c r="V80" s="17308"/>
      <c r="W80" s="17309"/>
      <c r="X80" s="17310"/>
      <c r="Y80" s="17311"/>
      <c r="Z80" s="17312"/>
      <c r="AA80" s="17313"/>
      <c r="AB80" s="17314"/>
      <c r="AC80" s="17315"/>
      <c r="AD80" s="17316"/>
      <c r="AE80" s="17317"/>
      <c r="AF80" s="17318"/>
      <c r="AG80" s="17319"/>
      <c r="AH80" s="17320"/>
      <c r="AI80" s="17321"/>
      <c r="AJ80" s="17322"/>
      <c r="AK80" s="17323"/>
      <c r="AL80" s="17324"/>
      <c r="AM80" s="17325"/>
      <c r="AN80" s="17326"/>
      <c r="AO80" s="17327"/>
      <c r="AP80" s="17328"/>
      <c r="AQ80" s="17329"/>
      <c r="AR80" s="17330"/>
      <c r="AS80" s="17331"/>
      <c r="AT80" s="17332"/>
      <c r="AU80" s="17333"/>
      <c r="AV80" s="17334"/>
      <c r="AW80" s="17335"/>
      <c r="AX80" s="17336"/>
      <c r="AY80" s="17337"/>
      <c r="AZ80" s="17338"/>
      <c r="BA80" s="17339"/>
      <c r="BB80" s="17340"/>
      <c r="BC80" s="17341"/>
      <c r="BD80" s="17342"/>
      <c r="BE80" s="17343"/>
      <c r="BF80" s="17344"/>
      <c r="BG80" s="17345"/>
      <c r="BH80" s="17346"/>
      <c r="BI80" s="17347"/>
      <c r="BJ80" s="17348"/>
      <c r="BK80" s="17349"/>
      <c r="BL80" s="17350"/>
      <c r="BM80" s="16818" t="s">
        <v>598</v>
      </c>
      <c r="BN80" s="16819"/>
      <c r="BO80" s="16820"/>
      <c r="BP80" s="16820" t="str">
        <f>IF(T80="","",T80)</f>
        <v>Добавить значение признака дифференциации</v>
      </c>
      <c r="BQ80" s="16820"/>
      <c r="BR80" s="16820"/>
      <c r="BS80" s="16821">
        <v>0</v>
      </c>
    </row>
    <row s="23618" customFormat="1" customHeight="1" ht="21">
      <c r="A81" s="16804"/>
      <c r="B81" s="16804"/>
      <c r="C81" s="16804"/>
      <c r="D81" s="16804"/>
      <c r="E81" s="16805"/>
      <c r="F81" s="16805"/>
      <c r="G81" s="16805" t="s">
        <v>91</v>
      </c>
      <c r="H81" s="16805"/>
      <c r="I81" s="16823"/>
      <c r="J81" s="16804"/>
      <c r="K81" s="16804"/>
      <c r="L81" s="16807"/>
      <c r="M81" s="16824"/>
      <c r="N81" s="16824"/>
      <c r="O81" s="16824"/>
      <c r="P81" s="16825"/>
      <c r="Q81" s="16825"/>
      <c r="R81" s="16826"/>
      <c r="S81" s="17352"/>
      <c r="T81" s="17353" t="s">
        <v>526</v>
      </c>
      <c r="U81" s="17354"/>
      <c r="V81" s="17355"/>
      <c r="W81" s="17356"/>
      <c r="X81" s="17357"/>
      <c r="Y81" s="17358"/>
      <c r="Z81" s="17359"/>
      <c r="AA81" s="17360"/>
      <c r="AB81" s="17361"/>
      <c r="AC81" s="17362"/>
      <c r="AD81" s="17363"/>
      <c r="AE81" s="17364"/>
      <c r="AF81" s="17365"/>
      <c r="AG81" s="17366"/>
      <c r="AH81" s="17367"/>
      <c r="AI81" s="17368"/>
      <c r="AJ81" s="17369"/>
      <c r="AK81" s="17370"/>
      <c r="AL81" s="17371"/>
      <c r="AM81" s="17372"/>
      <c r="AN81" s="17373"/>
      <c r="AO81" s="17374"/>
      <c r="AP81" s="17375"/>
      <c r="AQ81" s="17376"/>
      <c r="AR81" s="17377"/>
      <c r="AS81" s="17378"/>
      <c r="AT81" s="17379"/>
      <c r="AU81" s="17380"/>
      <c r="AV81" s="17381"/>
      <c r="AW81" s="17382"/>
      <c r="AX81" s="17383"/>
      <c r="AY81" s="17384"/>
      <c r="AZ81" s="17385"/>
      <c r="BA81" s="17386"/>
      <c r="BB81" s="17387"/>
      <c r="BC81" s="17388"/>
      <c r="BD81" s="17389"/>
      <c r="BE81" s="17390"/>
      <c r="BF81" s="17391"/>
      <c r="BG81" s="17392"/>
      <c r="BH81" s="17393"/>
      <c r="BI81" s="17394"/>
      <c r="BJ81" s="17395"/>
      <c r="BK81" s="17396"/>
      <c r="BL81" s="17397"/>
      <c r="BM81" s="17398"/>
      <c r="BN81" s="16819"/>
      <c r="BO81" s="16820"/>
      <c r="BP81" s="16820" t="str">
        <f>IF(T81="","",T81)</f>
        <v>Добавить группу потребителей</v>
      </c>
      <c r="BQ81" s="16820"/>
      <c r="BR81" s="16820"/>
      <c r="BS81" s="16821">
        <v>0</v>
      </c>
    </row>
    <row s="23666" customFormat="1" customHeight="1" ht="14.25">
      <c r="A82" s="16804"/>
      <c r="B82" s="16804"/>
      <c r="C82" s="16804"/>
      <c r="D82" s="16804"/>
      <c r="E82" s="16805"/>
      <c r="F82" s="16805"/>
      <c r="G82" s="16805" t="s">
        <v>91</v>
      </c>
      <c r="H82" s="16806"/>
      <c r="I82" s="16804"/>
      <c r="J82" s="16804"/>
      <c r="K82" s="16804"/>
      <c r="L82" s="16807"/>
      <c r="M82" s="16808"/>
      <c r="N82" s="16808"/>
      <c r="O82" s="16952"/>
      <c r="P82" s="16953"/>
      <c r="Q82" s="16954"/>
      <c r="R82" s="16955"/>
      <c r="S82" s="17400"/>
      <c r="T82" s="17401" t="s">
        <v>599</v>
      </c>
      <c r="U82" s="17402"/>
      <c r="V82" s="17403"/>
      <c r="W82" s="17404"/>
      <c r="X82" s="17405"/>
      <c r="Y82" s="17406"/>
      <c r="Z82" s="17407"/>
      <c r="AA82" s="17408"/>
      <c r="AB82" s="17409"/>
      <c r="AC82" s="17410"/>
      <c r="AD82" s="17411"/>
      <c r="AE82" s="17412"/>
      <c r="AF82" s="17413"/>
      <c r="AG82" s="17414"/>
      <c r="AH82" s="17415"/>
      <c r="AI82" s="17416"/>
      <c r="AJ82" s="17417"/>
      <c r="AK82" s="17418"/>
      <c r="AL82" s="17419"/>
      <c r="AM82" s="17420"/>
      <c r="AN82" s="17421"/>
      <c r="AO82" s="17422"/>
      <c r="AP82" s="17423"/>
      <c r="AQ82" s="17424"/>
      <c r="AR82" s="17425"/>
      <c r="AS82" s="17426"/>
      <c r="AT82" s="17427"/>
      <c r="AU82" s="17428"/>
      <c r="AV82" s="17429"/>
      <c r="AW82" s="17430"/>
      <c r="AX82" s="17431"/>
      <c r="AY82" s="17432"/>
      <c r="AZ82" s="17433"/>
      <c r="BA82" s="17434"/>
      <c r="BB82" s="17435"/>
      <c r="BC82" s="17436"/>
      <c r="BD82" s="17437"/>
      <c r="BE82" s="17438"/>
      <c r="BF82" s="17439"/>
      <c r="BG82" s="17440"/>
      <c r="BH82" s="17441"/>
      <c r="BI82" s="17442"/>
      <c r="BJ82" s="17443"/>
      <c r="BK82" s="17444"/>
      <c r="BL82" s="17445"/>
      <c r="BM82" s="17446"/>
      <c r="BN82" s="16819"/>
      <c r="BO82" s="16820"/>
      <c r="BP82" s="16820" t="str">
        <f>IF(T82="","",T82)</f>
        <v>Добавить наименование признака дифференциации</v>
      </c>
      <c r="BQ82" s="16820"/>
      <c r="BR82" s="16820"/>
      <c r="BS82" s="16821">
        <v>0</v>
      </c>
    </row>
    <row s="21688" customFormat="1" customHeight="1" ht="0">
      <c r="A83" s="1684" t="s">
        <v>265</v>
      </c>
      <c r="B83" s="1684" t="s">
        <v>266</v>
      </c>
      <c r="C83" s="1655"/>
      <c r="D83" s="1655"/>
      <c r="E83" s="2600"/>
      <c r="F83" s="2599"/>
      <c r="G83" s="1655"/>
      <c r="H83" s="1655"/>
      <c r="I83" s="1655"/>
      <c r="J83" s="1655"/>
      <c r="K83" s="1655"/>
      <c r="L83" s="1767"/>
      <c r="M83" s="1662"/>
      <c r="N83" s="1662"/>
      <c r="P83" s="1657"/>
      <c r="Q83" s="1658"/>
      <c r="R83" s="1657"/>
      <c r="S83" s="1663"/>
      <c r="T83" s="1666" t="s">
        <v>280</v>
      </c>
      <c r="U83" s="1665"/>
      <c r="V83" s="1665"/>
      <c r="W83" s="1665"/>
      <c r="X83" s="1665"/>
      <c r="Y83" s="1665"/>
      <c r="Z83" s="1665"/>
      <c r="AA83" s="1665"/>
      <c r="AB83" s="1665"/>
      <c r="AC83" s="1665"/>
      <c r="AD83" s="1665"/>
      <c r="AE83" s="1665"/>
      <c r="AF83" s="1665"/>
      <c r="AG83" s="1665"/>
      <c r="AH83" s="1665"/>
      <c r="AI83" s="1665"/>
      <c r="AJ83" s="4185"/>
      <c r="AK83" s="4185"/>
      <c r="AL83" s="4185"/>
      <c r="AM83" s="4185"/>
      <c r="AN83" s="4185"/>
      <c r="AO83" s="4185"/>
      <c r="AP83" s="4185"/>
      <c r="AQ83" s="7130"/>
      <c r="AR83" s="7130"/>
      <c r="AS83" s="7130"/>
      <c r="AT83" s="7130"/>
      <c r="AU83" s="7130"/>
      <c r="AV83" s="7130"/>
      <c r="AW83" s="7130"/>
      <c r="AX83" s="7130"/>
      <c r="AY83" s="7130"/>
      <c r="AZ83" s="7130"/>
      <c r="BA83" s="7130"/>
      <c r="BB83" s="7130"/>
      <c r="BC83" s="7130"/>
      <c r="BD83" s="7130"/>
      <c r="BE83" s="7130"/>
      <c r="BF83" s="7130"/>
      <c r="BG83" s="7130"/>
      <c r="BH83" s="7130"/>
      <c r="BI83" s="7130"/>
      <c r="BJ83" s="7130"/>
      <c r="BK83" s="7130"/>
      <c r="BL83" s="1665"/>
      <c r="BM83" s="1665"/>
      <c r="BO83" s="1130"/>
      <c r="BP83" s="1130" t="str">
        <f>IF(T83="","",T83)</f>
        <v>Добавить централизованную систему для дифференциации</v>
      </c>
      <c r="BQ83" s="1130"/>
      <c r="BR83" s="1130"/>
      <c r="BS83" s="859">
        <v>0</v>
      </c>
    </row>
    <row s="23714" customFormat="1" customHeight="1" ht="23.25">
      <c r="A84" s="7280"/>
      <c r="B84" s="7280" t="s">
        <v>282</v>
      </c>
      <c r="C84" s="7280"/>
      <c r="D84" s="7280"/>
      <c r="E84" s="7281"/>
      <c r="F84" s="7282" t="s">
        <v>103</v>
      </c>
      <c r="G84" s="7280"/>
      <c r="H84" s="7280"/>
      <c r="I84" s="7280"/>
      <c r="J84" s="7280"/>
      <c r="K84" s="7280"/>
      <c r="L84" s="7283"/>
      <c r="M84" s="7284"/>
      <c r="N84" s="7284"/>
      <c r="O84" s="7284"/>
      <c r="P84" s="7285"/>
      <c r="Q84" s="7286"/>
      <c r="R84" s="7287"/>
      <c r="S84" s="7288" t="str">
        <f>INDEX(PT_DIFFERENTIATION_NUM_TER,MATCH(B84,PT_DIFFERENTIATION_TER_ID,0))</f>
        <v>1.2</v>
      </c>
      <c r="T84" s="7289" t="s">
        <v>511</v>
      </c>
      <c r="U84" s="7290"/>
      <c r="V84" s="7000"/>
      <c r="W84" s="7001"/>
      <c r="X84" s="7001"/>
      <c r="Y84" s="7001"/>
      <c r="Z84" s="7001"/>
      <c r="AA84" s="7001"/>
      <c r="AB84" s="7002"/>
      <c r="AC84" s="7000" t="str">
        <f>INDEX(PT_DIFFERENTIATION_TER,MATCH(B84,PT_DIFFERENTIATION_TER_ID,0))</f>
        <v>Территория 2</v>
      </c>
      <c r="AD84" s="7001"/>
      <c r="AE84" s="7001"/>
      <c r="AF84" s="7001"/>
      <c r="AG84" s="7001"/>
      <c r="AH84" s="7001"/>
      <c r="AI84" s="7001"/>
      <c r="AJ84" s="7000"/>
      <c r="AK84" s="7001"/>
      <c r="AL84" s="7001"/>
      <c r="AM84" s="7001"/>
      <c r="AN84" s="7001"/>
      <c r="AO84" s="7001"/>
      <c r="AP84" s="7291"/>
      <c r="AQ84" s="7000"/>
      <c r="AR84" s="7001"/>
      <c r="AS84" s="7001"/>
      <c r="AT84" s="7001"/>
      <c r="AU84" s="7001"/>
      <c r="AV84" s="7001"/>
      <c r="AW84" s="7002"/>
      <c r="AX84" s="7000"/>
      <c r="AY84" s="7001"/>
      <c r="AZ84" s="7001"/>
      <c r="BA84" s="7001"/>
      <c r="BB84" s="7001"/>
      <c r="BC84" s="7001"/>
      <c r="BD84" s="7002"/>
      <c r="BE84" s="7000"/>
      <c r="BF84" s="7001"/>
      <c r="BG84" s="7001"/>
      <c r="BH84" s="7001"/>
      <c r="BI84" s="7001"/>
      <c r="BJ84" s="7001"/>
      <c r="BK84" s="7002"/>
      <c r="BL84" s="7002"/>
      <c r="BM84" s="7292" t="s">
        <v>512</v>
      </c>
      <c r="BN84" s="7151"/>
      <c r="BO84" s="7293"/>
      <c r="BP84" s="7293" t="str">
        <f>IF(T84="","",T84)</f>
        <v>Территория действия тарифа</v>
      </c>
      <c r="BQ84" s="7293"/>
      <c r="BR84" s="7293"/>
      <c r="BS84" s="6995">
        <v>0</v>
      </c>
    </row>
    <row s="23729" customFormat="1" customHeight="1" ht="23.25">
      <c r="A85" s="7280"/>
      <c r="B85" s="7280"/>
      <c r="C85" s="7280" t="s">
        <v>283</v>
      </c>
      <c r="D85" s="7280"/>
      <c r="E85" s="7281"/>
      <c r="F85" s="7281">
        <v>1</v>
      </c>
      <c r="G85" s="7282">
        <v>1</v>
      </c>
      <c r="H85" s="7280"/>
      <c r="I85" s="7280"/>
      <c r="J85" s="7280"/>
      <c r="K85" s="7280"/>
      <c r="L85" s="7283"/>
      <c r="M85" s="7284"/>
      <c r="N85" s="7284"/>
      <c r="O85" s="7284"/>
      <c r="P85" s="7295"/>
      <c r="Q85" s="7286"/>
      <c r="R85" s="7287"/>
      <c r="S85" s="7288" t="str">
        <f>INDEX(PT_DIFFERENTIATION_NUM_CS,MATCH(C85,PT_DIFFERENTIATION_CS_ID,0))</f>
        <v>1.2.1</v>
      </c>
      <c r="T85" s="7296" t="s">
        <v>592</v>
      </c>
      <c r="U85" s="7290"/>
      <c r="V85" s="7000"/>
      <c r="W85" s="7001"/>
      <c r="X85" s="7001"/>
      <c r="Y85" s="7001"/>
      <c r="Z85" s="7001"/>
      <c r="AA85" s="7001"/>
      <c r="AB85" s="7002"/>
      <c r="AC85" s="7000" t="str">
        <f>INDEX(PT_DIFFERENTIATION_CS,MATCH(C85,PT_DIFFERENTIATION_CS_ID,0))</f>
        <v>с. Романовка</v>
      </c>
      <c r="AD85" s="7001"/>
      <c r="AE85" s="7001"/>
      <c r="AF85" s="7001"/>
      <c r="AG85" s="7001"/>
      <c r="AH85" s="7001"/>
      <c r="AI85" s="7001"/>
      <c r="AJ85" s="7000"/>
      <c r="AK85" s="7001"/>
      <c r="AL85" s="7001"/>
      <c r="AM85" s="7001"/>
      <c r="AN85" s="7001"/>
      <c r="AO85" s="7001"/>
      <c r="AP85" s="7291"/>
      <c r="AQ85" s="7000"/>
      <c r="AR85" s="7001"/>
      <c r="AS85" s="7001"/>
      <c r="AT85" s="7001"/>
      <c r="AU85" s="7001"/>
      <c r="AV85" s="7001"/>
      <c r="AW85" s="7002"/>
      <c r="AX85" s="7000"/>
      <c r="AY85" s="7001"/>
      <c r="AZ85" s="7001"/>
      <c r="BA85" s="7001"/>
      <c r="BB85" s="7001"/>
      <c r="BC85" s="7001"/>
      <c r="BD85" s="7002"/>
      <c r="BE85" s="7000"/>
      <c r="BF85" s="7001"/>
      <c r="BG85" s="7001"/>
      <c r="BH85" s="7001"/>
      <c r="BI85" s="7001"/>
      <c r="BJ85" s="7001"/>
      <c r="BK85" s="7002"/>
      <c r="BL85" s="7002"/>
      <c r="BM85" s="7292" t="s">
        <v>593</v>
      </c>
      <c r="BN85" s="7151"/>
      <c r="BO85" s="7293"/>
      <c r="BP85" s="7293" t="str">
        <f>IF(T85="","",T85)</f>
        <v>Наименование централизованной системы холодного водоснабжения</v>
      </c>
      <c r="BQ85" s="7293"/>
      <c r="BR85" s="7293"/>
      <c r="BS85" s="6995">
        <v>0</v>
      </c>
    </row>
    <row s="23732" customFormat="1" customHeight="1" ht="23.25">
      <c r="A86" s="7280"/>
      <c r="B86" s="7280"/>
      <c r="C86" s="7280"/>
      <c r="D86" s="7280"/>
      <c r="E86" s="7281"/>
      <c r="F86" s="7281">
        <v>1</v>
      </c>
      <c r="G86" s="7281"/>
      <c r="H86" s="7281"/>
      <c r="I86" s="7298" t="str">
        <f>S85&amp;".1"</f>
        <v>1.2.1.1</v>
      </c>
      <c r="J86" s="7280"/>
      <c r="K86" s="7280"/>
      <c r="L86" s="7283"/>
      <c r="M86" s="7299"/>
      <c r="N86" s="7299"/>
      <c r="O86" s="7299"/>
      <c r="P86" s="7300">
        <v>1</v>
      </c>
      <c r="Q86" s="7300"/>
      <c r="R86" s="7301"/>
      <c r="S86" s="7288" t="str">
        <f>$I86</f>
        <v>1.2.1.1</v>
      </c>
      <c r="T86" s="7302" t="s">
        <v>594</v>
      </c>
      <c r="U86" s="7290"/>
      <c r="V86" s="7013"/>
      <c r="W86" s="7014"/>
      <c r="X86" s="7014"/>
      <c r="Y86" s="7014"/>
      <c r="Z86" s="7014"/>
      <c r="AA86" s="7014"/>
      <c r="AB86" s="7015"/>
      <c r="AC86" s="7303"/>
      <c r="AD86" s="7304"/>
      <c r="AE86" s="7304"/>
      <c r="AF86" s="7304"/>
      <c r="AG86" s="7304"/>
      <c r="AH86" s="7304"/>
      <c r="AI86" s="7304"/>
      <c r="AJ86" s="7013"/>
      <c r="AK86" s="7014"/>
      <c r="AL86" s="7014"/>
      <c r="AM86" s="7014"/>
      <c r="AN86" s="7014"/>
      <c r="AO86" s="7014"/>
      <c r="AP86" s="7305"/>
      <c r="AQ86" s="7013"/>
      <c r="AR86" s="7014"/>
      <c r="AS86" s="7014"/>
      <c r="AT86" s="7014"/>
      <c r="AU86" s="7014"/>
      <c r="AV86" s="7014"/>
      <c r="AW86" s="7015"/>
      <c r="AX86" s="7013"/>
      <c r="AY86" s="7014"/>
      <c r="AZ86" s="7014"/>
      <c r="BA86" s="7014"/>
      <c r="BB86" s="7014"/>
      <c r="BC86" s="7014"/>
      <c r="BD86" s="7015"/>
      <c r="BE86" s="7013"/>
      <c r="BF86" s="7014"/>
      <c r="BG86" s="7014"/>
      <c r="BH86" s="7014"/>
      <c r="BI86" s="7014"/>
      <c r="BJ86" s="7014"/>
      <c r="BK86" s="7015"/>
      <c r="BL86" s="7306"/>
      <c r="BM86" s="7292" t="s">
        <v>595</v>
      </c>
      <c r="BN86" s="7151"/>
      <c r="BO86" s="7293"/>
      <c r="BP86" s="7293" t="str">
        <f>IF(T86="","",T86)</f>
        <v>Наименование признака дифференциации</v>
      </c>
      <c r="BQ86" s="7293"/>
      <c r="BR86" s="7293"/>
      <c r="BS86" s="6995">
        <v>0</v>
      </c>
    </row>
    <row s="23742" customFormat="1" customHeight="1" ht="23.25">
      <c r="A87" s="7280"/>
      <c r="B87" s="7280"/>
      <c r="C87" s="7280"/>
      <c r="D87" s="7280"/>
      <c r="E87" s="7281"/>
      <c r="F87" s="7281">
        <v>1</v>
      </c>
      <c r="G87" s="7281"/>
      <c r="H87" s="7281"/>
      <c r="I87" s="7308"/>
      <c r="J87" s="7298" t="str">
        <f>I86&amp;".1"</f>
        <v>1.2.1.1.1</v>
      </c>
      <c r="K87" s="7280"/>
      <c r="L87" s="7283" t="s">
        <v>520</v>
      </c>
      <c r="M87" s="7299"/>
      <c r="N87" s="7299"/>
      <c r="O87" s="7299"/>
      <c r="P87" s="7300"/>
      <c r="Q87" s="7300">
        <v>1</v>
      </c>
      <c r="R87" s="7309"/>
      <c r="S87" s="7288" t="str">
        <f>$J87</f>
        <v>1.2.1.1.1</v>
      </c>
      <c r="T87" s="7310" t="s">
        <v>521</v>
      </c>
      <c r="U87" s="7290"/>
      <c r="V87" s="7020"/>
      <c r="W87" s="7021"/>
      <c r="X87" s="7021"/>
      <c r="Y87" s="7021"/>
      <c r="Z87" s="7021"/>
      <c r="AA87" s="7021"/>
      <c r="AB87" s="7022"/>
      <c r="AC87" s="7020" t="s">
        <v>607</v>
      </c>
      <c r="AD87" s="7021"/>
      <c r="AE87" s="7021"/>
      <c r="AF87" s="7021"/>
      <c r="AG87" s="7021"/>
      <c r="AH87" s="7021"/>
      <c r="AI87" s="7021"/>
      <c r="AJ87" s="7020"/>
      <c r="AK87" s="7021"/>
      <c r="AL87" s="7021"/>
      <c r="AM87" s="7021"/>
      <c r="AN87" s="7021"/>
      <c r="AO87" s="7021"/>
      <c r="AP87" s="7311"/>
      <c r="AQ87" s="7020"/>
      <c r="AR87" s="7021"/>
      <c r="AS87" s="7021"/>
      <c r="AT87" s="7021"/>
      <c r="AU87" s="7021"/>
      <c r="AV87" s="7021"/>
      <c r="AW87" s="7022"/>
      <c r="AX87" s="7020"/>
      <c r="AY87" s="7021"/>
      <c r="AZ87" s="7021"/>
      <c r="BA87" s="7021"/>
      <c r="BB87" s="7021"/>
      <c r="BC87" s="7021"/>
      <c r="BD87" s="7022"/>
      <c r="BE87" s="7020"/>
      <c r="BF87" s="7021"/>
      <c r="BG87" s="7021"/>
      <c r="BH87" s="7021"/>
      <c r="BI87" s="7021"/>
      <c r="BJ87" s="7021"/>
      <c r="BK87" s="7022"/>
      <c r="BL87" s="7022"/>
      <c r="BM87" s="7312" t="s">
        <v>596</v>
      </c>
      <c r="BN87" s="7151"/>
      <c r="BO87" s="7293"/>
      <c r="BP87" s="7293" t="str">
        <f>IF(T87="","",T87)</f>
        <v>Группа потребителей</v>
      </c>
      <c r="BQ87" s="7293"/>
      <c r="BR87" s="7293"/>
      <c r="BS87" s="6995">
        <v>0</v>
      </c>
    </row>
    <row s="23748" customFormat="1" customHeight="1" ht="23.25">
      <c r="A88" s="7280"/>
      <c r="B88" s="7280"/>
      <c r="C88" s="7280"/>
      <c r="D88" s="7280"/>
      <c r="E88" s="7281"/>
      <c r="F88" s="7281">
        <v>1</v>
      </c>
      <c r="G88" s="7281"/>
      <c r="H88" s="7281"/>
      <c r="I88" s="7308"/>
      <c r="J88" s="7308"/>
      <c r="K88" s="7298" t="str">
        <f>J87&amp;".1"</f>
        <v>1.2.1.1.1.1</v>
      </c>
      <c r="L88" s="7283"/>
      <c r="M88" s="7299"/>
      <c r="N88" s="7299"/>
      <c r="O88" s="7299"/>
      <c r="P88" s="7300"/>
      <c r="Q88" s="7300"/>
      <c r="R88" s="7309">
        <v>1</v>
      </c>
      <c r="S88" s="7288" t="str">
        <f>$K88</f>
        <v>1.2.1.1.1.1</v>
      </c>
      <c r="T88" s="7314" t="s">
        <v>590</v>
      </c>
      <c r="U88" s="7290"/>
      <c r="V88" s="16708"/>
      <c r="W88" s="16708"/>
      <c r="X88" s="16709"/>
      <c r="Y88" s="16710"/>
      <c r="Z88" s="16711" t="s">
        <v>66</v>
      </c>
      <c r="AA88" s="16710"/>
      <c r="AB88" s="16711" t="s">
        <v>66</v>
      </c>
      <c r="AC88" s="7028">
        <v>70.4</v>
      </c>
      <c r="AD88" s="7028"/>
      <c r="AE88" s="7029"/>
      <c r="AF88" s="7030">
        <v>45658.65791666666</v>
      </c>
      <c r="AG88" s="7031" t="s">
        <v>66</v>
      </c>
      <c r="AH88" s="7191">
        <v>46022.65827546296</v>
      </c>
      <c r="AI88" s="7031" t="s">
        <v>66</v>
      </c>
      <c r="AJ88" s="7028">
        <v>68.82</v>
      </c>
      <c r="AK88" s="7028"/>
      <c r="AL88" s="7029"/>
      <c r="AM88" s="7030">
        <v>46023.658472222225</v>
      </c>
      <c r="AN88" s="7031" t="s">
        <v>66</v>
      </c>
      <c r="AO88" s="7030">
        <v>46387.658680555556</v>
      </c>
      <c r="AP88" s="7315" t="s">
        <v>66</v>
      </c>
      <c r="AQ88" s="7028">
        <v>70.81</v>
      </c>
      <c r="AR88" s="7028"/>
      <c r="AS88" s="7029"/>
      <c r="AT88" s="7030">
        <v>46388.66234953704</v>
      </c>
      <c r="AU88" s="7031" t="s">
        <v>66</v>
      </c>
      <c r="AV88" s="7030">
        <v>46752.662523148145</v>
      </c>
      <c r="AW88" s="7031" t="s">
        <v>66</v>
      </c>
      <c r="AX88" s="7028">
        <v>72.87</v>
      </c>
      <c r="AY88" s="7028"/>
      <c r="AZ88" s="7029"/>
      <c r="BA88" s="7030">
        <v>46753.66290509259</v>
      </c>
      <c r="BB88" s="7031" t="s">
        <v>66</v>
      </c>
      <c r="BC88" s="7030">
        <v>47118.66306712963</v>
      </c>
      <c r="BD88" s="7031" t="s">
        <v>19</v>
      </c>
      <c r="BE88" s="16708"/>
      <c r="BF88" s="16708"/>
      <c r="BG88" s="16709"/>
      <c r="BH88" s="16710"/>
      <c r="BI88" s="16711" t="s">
        <v>66</v>
      </c>
      <c r="BJ88" s="16710"/>
      <c r="BK88" s="16711" t="s">
        <v>66</v>
      </c>
      <c r="BL88" s="7316"/>
      <c r="BM88" s="7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88" s="7151">
        <f>STRCHECKDATE(V89:BL89)</f>
      </c>
      <c r="BO88" s="7293"/>
      <c r="BP88" s="7293" t="str">
        <f>IF(T88="","",T88)</f>
        <v>без НДС</v>
      </c>
      <c r="BQ88" s="7293"/>
      <c r="BR88" s="7293"/>
      <c r="BS88" s="6995">
        <v>0</v>
      </c>
    </row>
    <row s="23753" customFormat="1" customHeight="1" ht="14.25">
      <c r="A89" s="7280"/>
      <c r="B89" s="7280"/>
      <c r="C89" s="7280"/>
      <c r="D89" s="7280"/>
      <c r="E89" s="7281"/>
      <c r="F89" s="7281">
        <v>1</v>
      </c>
      <c r="G89" s="7281"/>
      <c r="H89" s="7281"/>
      <c r="I89" s="7308"/>
      <c r="J89" s="7308"/>
      <c r="K89" s="7298"/>
      <c r="L89" s="7283"/>
      <c r="M89" s="7299"/>
      <c r="N89" s="7299"/>
      <c r="O89" s="7299"/>
      <c r="P89" s="7300"/>
      <c r="Q89" s="7300"/>
      <c r="R89" s="7309"/>
      <c r="S89" s="7319"/>
      <c r="T89" s="7290"/>
      <c r="U89" s="7290"/>
      <c r="V89" s="16708"/>
      <c r="W89" s="16708"/>
      <c r="X89" s="16716" t="str">
        <f>Y88&amp;"-"&amp;AA88</f>
        <v>-</v>
      </c>
      <c r="Y89" s="16711"/>
      <c r="Z89" s="16711"/>
      <c r="AA89" s="16711"/>
      <c r="AB89" s="16711"/>
      <c r="AC89" s="7038"/>
      <c r="AD89" s="7038"/>
      <c r="AE89" s="7039" t="str">
        <f>AF88&amp;"-"&amp;AH88</f>
        <v>45658.65791666666-46022.65827546296</v>
      </c>
      <c r="AF89" s="7040"/>
      <c r="AG89" s="7031"/>
      <c r="AH89" s="7194"/>
      <c r="AI89" s="7031"/>
      <c r="AJ89" s="7038"/>
      <c r="AK89" s="7038"/>
      <c r="AL89" s="7039" t="str">
        <f>AM88&amp;"-"&amp;AO88</f>
        <v>46023.658472222225-46387.658680555556</v>
      </c>
      <c r="AM89" s="7040"/>
      <c r="AN89" s="7031"/>
      <c r="AO89" s="7040"/>
      <c r="AP89" s="7315"/>
      <c r="AQ89" s="7038"/>
      <c r="AR89" s="7038"/>
      <c r="AS89" s="7039" t="str">
        <f>AT88&amp;"-"&amp;AV88</f>
        <v>46388.66234953704-46752.662523148145</v>
      </c>
      <c r="AT89" s="7040"/>
      <c r="AU89" s="7031"/>
      <c r="AV89" s="7040"/>
      <c r="AW89" s="7031"/>
      <c r="AX89" s="7038"/>
      <c r="AY89" s="7038"/>
      <c r="AZ89" s="7039" t="str">
        <f>BA88&amp;"-"&amp;BC88</f>
        <v>46753.66290509259-47118.66306712963</v>
      </c>
      <c r="BA89" s="7040"/>
      <c r="BB89" s="7031"/>
      <c r="BC89" s="7040"/>
      <c r="BD89" s="7031"/>
      <c r="BE89" s="16708"/>
      <c r="BF89" s="16708"/>
      <c r="BG89" s="16716" t="str">
        <f>BH88&amp;"-"&amp;BJ88</f>
        <v>-</v>
      </c>
      <c r="BH89" s="16711"/>
      <c r="BI89" s="16711"/>
      <c r="BJ89" s="16711"/>
      <c r="BK89" s="16711"/>
      <c r="BL89" s="7320"/>
      <c r="BM89" s="7317"/>
      <c r="BN89" s="7151"/>
      <c r="BO89" s="7293"/>
      <c r="BP89" s="7293" t="str">
        <f>IF(T89="","",T89)</f>
        <v/>
      </c>
      <c r="BQ89" s="7293"/>
      <c r="BR89" s="7293"/>
      <c r="BS89" s="6995">
        <v>0</v>
      </c>
    </row>
    <row s="23756" customFormat="1" customHeight="1" ht="21">
      <c r="A90" s="7280"/>
      <c r="B90" s="7280"/>
      <c r="C90" s="7280"/>
      <c r="D90" s="7280"/>
      <c r="E90" s="7281"/>
      <c r="F90" s="7281">
        <v>1</v>
      </c>
      <c r="G90" s="7281"/>
      <c r="H90" s="7281"/>
      <c r="I90" s="7308"/>
      <c r="J90" s="7298"/>
      <c r="K90" s="7280"/>
      <c r="L90" s="7283"/>
      <c r="M90" s="7299"/>
      <c r="N90" s="7299"/>
      <c r="O90" s="7299"/>
      <c r="P90" s="7300"/>
      <c r="Q90" s="7300"/>
      <c r="R90" s="7301"/>
      <c r="S90" s="7322"/>
      <c r="T90" s="7323" t="s">
        <v>597</v>
      </c>
      <c r="U90" s="7324"/>
      <c r="V90" s="7325"/>
      <c r="W90" s="7326"/>
      <c r="X90" s="7327"/>
      <c r="Y90" s="7328"/>
      <c r="Z90" s="7329"/>
      <c r="AA90" s="7330"/>
      <c r="AB90" s="7331"/>
      <c r="AC90" s="7332"/>
      <c r="AD90" s="7333"/>
      <c r="AE90" s="7334"/>
      <c r="AF90" s="7335"/>
      <c r="AG90" s="7336"/>
      <c r="AH90" s="7337"/>
      <c r="AI90" s="7338"/>
      <c r="AJ90" s="7339"/>
      <c r="AK90" s="7340"/>
      <c r="AL90" s="7341"/>
      <c r="AM90" s="7342"/>
      <c r="AN90" s="7343"/>
      <c r="AO90" s="7344"/>
      <c r="AP90" s="7345"/>
      <c r="AQ90" s="7346"/>
      <c r="AR90" s="7347"/>
      <c r="AS90" s="7348"/>
      <c r="AT90" s="7349"/>
      <c r="AU90" s="7350"/>
      <c r="AV90" s="7351"/>
      <c r="AW90" s="7352"/>
      <c r="AX90" s="7353"/>
      <c r="AY90" s="7354"/>
      <c r="AZ90" s="7355"/>
      <c r="BA90" s="7356"/>
      <c r="BB90" s="7357"/>
      <c r="BC90" s="7358"/>
      <c r="BD90" s="7359"/>
      <c r="BE90" s="7360"/>
      <c r="BF90" s="7361"/>
      <c r="BG90" s="7362"/>
      <c r="BH90" s="7363"/>
      <c r="BI90" s="7364"/>
      <c r="BJ90" s="7365"/>
      <c r="BK90" s="7366"/>
      <c r="BL90" s="7367"/>
      <c r="BM90" s="7292" t="s">
        <v>598</v>
      </c>
      <c r="BN90" s="7151"/>
      <c r="BO90" s="7293"/>
      <c r="BP90" s="7293" t="str">
        <f>IF(T90="","",T90)</f>
        <v>Добавить значение признака дифференциации</v>
      </c>
      <c r="BQ90" s="7293"/>
      <c r="BR90" s="7293"/>
      <c r="BS90" s="6995">
        <v>0</v>
      </c>
    </row>
    <row s="23803" customFormat="1" customHeight="1" ht="21">
      <c r="A91" s="7280"/>
      <c r="B91" s="7280"/>
      <c r="C91" s="7280"/>
      <c r="D91" s="7280"/>
      <c r="E91" s="7281"/>
      <c r="F91" s="7281">
        <v>1</v>
      </c>
      <c r="G91" s="7281"/>
      <c r="H91" s="7281"/>
      <c r="I91" s="7298"/>
      <c r="J91" s="7280"/>
      <c r="K91" s="7280"/>
      <c r="L91" s="7283"/>
      <c r="M91" s="7299"/>
      <c r="N91" s="7299"/>
      <c r="O91" s="7299"/>
      <c r="P91" s="7300"/>
      <c r="Q91" s="7300"/>
      <c r="R91" s="7301"/>
      <c r="S91" s="7369"/>
      <c r="T91" s="7370" t="s">
        <v>526</v>
      </c>
      <c r="U91" s="7371"/>
      <c r="V91" s="7372"/>
      <c r="W91" s="7373"/>
      <c r="X91" s="7374"/>
      <c r="Y91" s="7375"/>
      <c r="Z91" s="7376"/>
      <c r="AA91" s="7377"/>
      <c r="AB91" s="7378"/>
      <c r="AC91" s="7379"/>
      <c r="AD91" s="7380"/>
      <c r="AE91" s="7381"/>
      <c r="AF91" s="7382"/>
      <c r="AG91" s="7383"/>
      <c r="AH91" s="7384"/>
      <c r="AI91" s="7385"/>
      <c r="AJ91" s="7386"/>
      <c r="AK91" s="7387"/>
      <c r="AL91" s="7388"/>
      <c r="AM91" s="7389"/>
      <c r="AN91" s="7390"/>
      <c r="AO91" s="7391"/>
      <c r="AP91" s="7392"/>
      <c r="AQ91" s="7393"/>
      <c r="AR91" s="7394"/>
      <c r="AS91" s="7395"/>
      <c r="AT91" s="7396"/>
      <c r="AU91" s="7397"/>
      <c r="AV91" s="7398"/>
      <c r="AW91" s="7399"/>
      <c r="AX91" s="7400"/>
      <c r="AY91" s="7401"/>
      <c r="AZ91" s="7402"/>
      <c r="BA91" s="7403"/>
      <c r="BB91" s="7404"/>
      <c r="BC91" s="7405"/>
      <c r="BD91" s="7406"/>
      <c r="BE91" s="7407"/>
      <c r="BF91" s="7408"/>
      <c r="BG91" s="7409"/>
      <c r="BH91" s="7410"/>
      <c r="BI91" s="7411"/>
      <c r="BJ91" s="7412"/>
      <c r="BK91" s="7413"/>
      <c r="BL91" s="7414"/>
      <c r="BM91" s="7415"/>
      <c r="BN91" s="7151"/>
      <c r="BO91" s="7293"/>
      <c r="BP91" s="7293" t="str">
        <f>IF(T91="","",T91)</f>
        <v>Добавить группу потребителей</v>
      </c>
      <c r="BQ91" s="7293"/>
      <c r="BR91" s="7293"/>
      <c r="BS91" s="6995">
        <v>0</v>
      </c>
    </row>
    <row s="23851" customFormat="1" customHeight="1" ht="14.25">
      <c r="A92" s="7280"/>
      <c r="B92" s="7280"/>
      <c r="C92" s="7280"/>
      <c r="D92" s="7280"/>
      <c r="E92" s="7281"/>
      <c r="F92" s="7281">
        <v>1</v>
      </c>
      <c r="G92" s="7281"/>
      <c r="H92" s="7282"/>
      <c r="I92" s="7280"/>
      <c r="J92" s="7280"/>
      <c r="K92" s="7280"/>
      <c r="L92" s="7283"/>
      <c r="M92" s="7284"/>
      <c r="N92" s="7284"/>
      <c r="O92" s="7134"/>
      <c r="P92" s="7417"/>
      <c r="Q92" s="7418"/>
      <c r="R92" s="7419"/>
      <c r="S92" s="7420"/>
      <c r="T92" s="7421" t="s">
        <v>599</v>
      </c>
      <c r="U92" s="7422"/>
      <c r="V92" s="7423"/>
      <c r="W92" s="7424"/>
      <c r="X92" s="7425"/>
      <c r="Y92" s="7426"/>
      <c r="Z92" s="7427"/>
      <c r="AA92" s="7428"/>
      <c r="AB92" s="7429"/>
      <c r="AC92" s="7430"/>
      <c r="AD92" s="7431"/>
      <c r="AE92" s="7432"/>
      <c r="AF92" s="7433"/>
      <c r="AG92" s="7434"/>
      <c r="AH92" s="7435"/>
      <c r="AI92" s="7436"/>
      <c r="AJ92" s="7437"/>
      <c r="AK92" s="7438"/>
      <c r="AL92" s="7439"/>
      <c r="AM92" s="7440"/>
      <c r="AN92" s="7441"/>
      <c r="AO92" s="7442"/>
      <c r="AP92" s="7443"/>
      <c r="AQ92" s="7444"/>
      <c r="AR92" s="7445"/>
      <c r="AS92" s="7446"/>
      <c r="AT92" s="7447"/>
      <c r="AU92" s="7448"/>
      <c r="AV92" s="7449"/>
      <c r="AW92" s="7450"/>
      <c r="AX92" s="7451"/>
      <c r="AY92" s="7452"/>
      <c r="AZ92" s="7453"/>
      <c r="BA92" s="7454"/>
      <c r="BB92" s="7455"/>
      <c r="BC92" s="7456"/>
      <c r="BD92" s="7457"/>
      <c r="BE92" s="7458"/>
      <c r="BF92" s="7459"/>
      <c r="BG92" s="7460"/>
      <c r="BH92" s="7461"/>
      <c r="BI92" s="7462"/>
      <c r="BJ92" s="7463"/>
      <c r="BK92" s="7464"/>
      <c r="BL92" s="7465"/>
      <c r="BM92" s="7466"/>
      <c r="BN92" s="7151"/>
      <c r="BO92" s="7293"/>
      <c r="BP92" s="7293" t="str">
        <f>IF(T92="","",T92)</f>
        <v>Добавить наименование признака дифференциации</v>
      </c>
      <c r="BQ92" s="7293"/>
      <c r="BR92" s="7293"/>
      <c r="BS92" s="6995">
        <v>0</v>
      </c>
    </row>
    <row s="23902" customFormat="1" customHeight="1" ht="23.25">
      <c r="A93" s="16804"/>
      <c r="B93" s="16804"/>
      <c r="C93" s="16804" t="s">
        <v>286</v>
      </c>
      <c r="D93" s="16804"/>
      <c r="E93" s="16805"/>
      <c r="F93" s="16805"/>
      <c r="G93" s="16806" t="s">
        <v>103</v>
      </c>
      <c r="H93" s="16804"/>
      <c r="I93" s="16804"/>
      <c r="J93" s="16804"/>
      <c r="K93" s="16804"/>
      <c r="L93" s="16807"/>
      <c r="M93" s="16808"/>
      <c r="N93" s="16808"/>
      <c r="O93" s="16808"/>
      <c r="P93" s="16809"/>
      <c r="Q93" s="16810"/>
      <c r="R93" s="16811"/>
      <c r="S93" s="16812" t="str">
        <f>INDEX(PT_DIFFERENTIATION_NUM_CS,MATCH(C93,PT_DIFFERENTIATION_CS_ID,0))</f>
        <v>1.2.2</v>
      </c>
      <c r="T93" s="16813" t="s">
        <v>592</v>
      </c>
      <c r="U93" s="16814"/>
      <c r="V93" s="16815"/>
      <c r="W93" s="16816"/>
      <c r="X93" s="16816"/>
      <c r="Y93" s="16816"/>
      <c r="Z93" s="16816"/>
      <c r="AA93" s="16816"/>
      <c r="AB93" s="16817"/>
      <c r="AC93" s="16815" t="str">
        <f>INDEX(PT_DIFFERENTIATION_CS,MATCH(C93,PT_DIFFERENTIATION_CS_ID,0))</f>
        <v>с. Многоудобное</v>
      </c>
      <c r="AD93" s="16816"/>
      <c r="AE93" s="16816"/>
      <c r="AF93" s="16816"/>
      <c r="AG93" s="16816"/>
      <c r="AH93" s="16816"/>
      <c r="AI93" s="16816"/>
      <c r="AJ93" s="16815"/>
      <c r="AK93" s="16816"/>
      <c r="AL93" s="16816"/>
      <c r="AM93" s="16816"/>
      <c r="AN93" s="16816"/>
      <c r="AO93" s="16816"/>
      <c r="AP93" s="16817"/>
      <c r="AQ93" s="16815"/>
      <c r="AR93" s="16816"/>
      <c r="AS93" s="16816"/>
      <c r="AT93" s="16816"/>
      <c r="AU93" s="16816"/>
      <c r="AV93" s="16816"/>
      <c r="AW93" s="16817"/>
      <c r="AX93" s="16815"/>
      <c r="AY93" s="16816"/>
      <c r="AZ93" s="16816"/>
      <c r="BA93" s="16816"/>
      <c r="BB93" s="16816"/>
      <c r="BC93" s="16816"/>
      <c r="BD93" s="16817"/>
      <c r="BE93" s="16815"/>
      <c r="BF93" s="16816"/>
      <c r="BG93" s="16816"/>
      <c r="BH93" s="16816"/>
      <c r="BI93" s="16816"/>
      <c r="BJ93" s="16816"/>
      <c r="BK93" s="16817"/>
      <c r="BL93" s="16817"/>
      <c r="BM93" s="16818" t="s">
        <v>593</v>
      </c>
      <c r="BN93" s="16819"/>
      <c r="BO93" s="16820"/>
      <c r="BP93" s="16820" t="str">
        <f>IF(T93="","",T93)</f>
        <v>Наименование централизованной системы холодного водоснабжения</v>
      </c>
      <c r="BQ93" s="16820"/>
      <c r="BR93" s="16820"/>
      <c r="BS93" s="16821">
        <v>0</v>
      </c>
    </row>
    <row s="23903" customFormat="1" customHeight="1" ht="23.25">
      <c r="A94" s="16804"/>
      <c r="B94" s="16804"/>
      <c r="C94" s="16804"/>
      <c r="D94" s="16804"/>
      <c r="E94" s="16805"/>
      <c r="F94" s="16805"/>
      <c r="G94" s="16805">
        <v>1</v>
      </c>
      <c r="H94" s="16805"/>
      <c r="I94" s="16823" t="str">
        <f>S93&amp;".1"</f>
        <v>1.2.2.1</v>
      </c>
      <c r="J94" s="16804"/>
      <c r="K94" s="16804"/>
      <c r="L94" s="16807"/>
      <c r="M94" s="16824"/>
      <c r="N94" s="16824"/>
      <c r="O94" s="16824"/>
      <c r="P94" s="16825">
        <v>1</v>
      </c>
      <c r="Q94" s="16825"/>
      <c r="R94" s="16826"/>
      <c r="S94" s="16812" t="str">
        <f>$I94</f>
        <v>1.2.2.1</v>
      </c>
      <c r="T94" s="16827" t="s">
        <v>594</v>
      </c>
      <c r="U94" s="16814"/>
      <c r="V94" s="16828"/>
      <c r="W94" s="16829"/>
      <c r="X94" s="16829"/>
      <c r="Y94" s="16829"/>
      <c r="Z94" s="16829"/>
      <c r="AA94" s="16829"/>
      <c r="AB94" s="16830"/>
      <c r="AC94" s="16831"/>
      <c r="AD94" s="16832"/>
      <c r="AE94" s="16832"/>
      <c r="AF94" s="16832"/>
      <c r="AG94" s="16832"/>
      <c r="AH94" s="16832"/>
      <c r="AI94" s="16832"/>
      <c r="AJ94" s="16828"/>
      <c r="AK94" s="16829"/>
      <c r="AL94" s="16829"/>
      <c r="AM94" s="16829"/>
      <c r="AN94" s="16829"/>
      <c r="AO94" s="16829"/>
      <c r="AP94" s="16830"/>
      <c r="AQ94" s="16828"/>
      <c r="AR94" s="16829"/>
      <c r="AS94" s="16829"/>
      <c r="AT94" s="16829"/>
      <c r="AU94" s="16829"/>
      <c r="AV94" s="16829"/>
      <c r="AW94" s="16830"/>
      <c r="AX94" s="16828"/>
      <c r="AY94" s="16829"/>
      <c r="AZ94" s="16829"/>
      <c r="BA94" s="16829"/>
      <c r="BB94" s="16829"/>
      <c r="BC94" s="16829"/>
      <c r="BD94" s="16830"/>
      <c r="BE94" s="16828"/>
      <c r="BF94" s="16829"/>
      <c r="BG94" s="16829"/>
      <c r="BH94" s="16829"/>
      <c r="BI94" s="16829"/>
      <c r="BJ94" s="16829"/>
      <c r="BK94" s="16830"/>
      <c r="BL94" s="16833"/>
      <c r="BM94" s="16818" t="s">
        <v>595</v>
      </c>
      <c r="BN94" s="16819"/>
      <c r="BO94" s="16820"/>
      <c r="BP94" s="16820" t="str">
        <f>IF(T94="","",T94)</f>
        <v>Наименование признака дифференциации</v>
      </c>
      <c r="BQ94" s="16820"/>
      <c r="BR94" s="16820"/>
      <c r="BS94" s="16821">
        <v>0</v>
      </c>
    </row>
    <row s="23904" customFormat="1" customHeight="1" ht="23.25">
      <c r="A95" s="16804"/>
      <c r="B95" s="16804"/>
      <c r="C95" s="16804"/>
      <c r="D95" s="16804"/>
      <c r="E95" s="16805"/>
      <c r="F95" s="16805"/>
      <c r="G95" s="16805">
        <v>1</v>
      </c>
      <c r="H95" s="16805"/>
      <c r="I95" s="16835"/>
      <c r="J95" s="16823" t="str">
        <f>I94&amp;".1"</f>
        <v>1.2.2.1.1</v>
      </c>
      <c r="K95" s="16804"/>
      <c r="L95" s="16807" t="s">
        <v>520</v>
      </c>
      <c r="M95" s="16824"/>
      <c r="N95" s="16824"/>
      <c r="O95" s="16824"/>
      <c r="P95" s="16825"/>
      <c r="Q95" s="16825">
        <v>1</v>
      </c>
      <c r="R95" s="16836"/>
      <c r="S95" s="16812" t="str">
        <f>$J95</f>
        <v>1.2.2.1.1</v>
      </c>
      <c r="T95" s="16837" t="s">
        <v>521</v>
      </c>
      <c r="U95" s="16814"/>
      <c r="V95" s="16838"/>
      <c r="W95" s="16839"/>
      <c r="X95" s="16839"/>
      <c r="Y95" s="16839"/>
      <c r="Z95" s="16839"/>
      <c r="AA95" s="16839"/>
      <c r="AB95" s="16840"/>
      <c r="AC95" s="16838" t="s">
        <v>607</v>
      </c>
      <c r="AD95" s="16839"/>
      <c r="AE95" s="16839"/>
      <c r="AF95" s="16839"/>
      <c r="AG95" s="16839"/>
      <c r="AH95" s="16839"/>
      <c r="AI95" s="16839"/>
      <c r="AJ95" s="16838"/>
      <c r="AK95" s="16839"/>
      <c r="AL95" s="16839"/>
      <c r="AM95" s="16839"/>
      <c r="AN95" s="16839"/>
      <c r="AO95" s="16839"/>
      <c r="AP95" s="16840"/>
      <c r="AQ95" s="16838"/>
      <c r="AR95" s="16839"/>
      <c r="AS95" s="16839"/>
      <c r="AT95" s="16839"/>
      <c r="AU95" s="16839"/>
      <c r="AV95" s="16839"/>
      <c r="AW95" s="16840"/>
      <c r="AX95" s="16838"/>
      <c r="AY95" s="16839"/>
      <c r="AZ95" s="16839"/>
      <c r="BA95" s="16839"/>
      <c r="BB95" s="16839"/>
      <c r="BC95" s="16839"/>
      <c r="BD95" s="16840"/>
      <c r="BE95" s="16838"/>
      <c r="BF95" s="16839"/>
      <c r="BG95" s="16839"/>
      <c r="BH95" s="16839"/>
      <c r="BI95" s="16839"/>
      <c r="BJ95" s="16839"/>
      <c r="BK95" s="16840"/>
      <c r="BL95" s="16840"/>
      <c r="BM95" s="16841" t="s">
        <v>596</v>
      </c>
      <c r="BN95" s="16819"/>
      <c r="BO95" s="16820"/>
      <c r="BP95" s="16820" t="str">
        <f>IF(T95="","",T95)</f>
        <v>Группа потребителей</v>
      </c>
      <c r="BQ95" s="16820"/>
      <c r="BR95" s="16820"/>
      <c r="BS95" s="16821">
        <v>0</v>
      </c>
    </row>
    <row s="23905" customFormat="1" customHeight="1" ht="23.25">
      <c r="A96" s="16804"/>
      <c r="B96" s="16804"/>
      <c r="C96" s="16804"/>
      <c r="D96" s="16804"/>
      <c r="E96" s="16805"/>
      <c r="F96" s="16805"/>
      <c r="G96" s="16805">
        <v>1</v>
      </c>
      <c r="H96" s="16805"/>
      <c r="I96" s="16835"/>
      <c r="J96" s="16835"/>
      <c r="K96" s="16823" t="str">
        <f>J95&amp;".1"</f>
        <v>1.2.2.1.1.1</v>
      </c>
      <c r="L96" s="16807"/>
      <c r="M96" s="16824"/>
      <c r="N96" s="16824"/>
      <c r="O96" s="16824"/>
      <c r="P96" s="16825"/>
      <c r="Q96" s="16825"/>
      <c r="R96" s="16836">
        <v>1</v>
      </c>
      <c r="S96" s="16812" t="str">
        <f>$K96</f>
        <v>1.2.2.1.1.1</v>
      </c>
      <c r="T96" s="16843" t="s">
        <v>590</v>
      </c>
      <c r="U96" s="16814"/>
      <c r="V96" s="16708"/>
      <c r="W96" s="16708"/>
      <c r="X96" s="16709"/>
      <c r="Y96" s="16710"/>
      <c r="Z96" s="16711" t="s">
        <v>66</v>
      </c>
      <c r="AA96" s="16710"/>
      <c r="AB96" s="16711" t="s">
        <v>66</v>
      </c>
      <c r="AC96" s="16844">
        <v>58.01</v>
      </c>
      <c r="AD96" s="16844"/>
      <c r="AE96" s="16845"/>
      <c r="AF96" s="16846">
        <v>45658.486979166664</v>
      </c>
      <c r="AG96" s="16847" t="s">
        <v>66</v>
      </c>
      <c r="AH96" s="16712">
        <v>46022.48707175926</v>
      </c>
      <c r="AI96" s="16847" t="s">
        <v>66</v>
      </c>
      <c r="AJ96" s="16844">
        <v>54.76</v>
      </c>
      <c r="AK96" s="16844"/>
      <c r="AL96" s="16845"/>
      <c r="AM96" s="16846">
        <v>46023.49371527778</v>
      </c>
      <c r="AN96" s="16847" t="s">
        <v>66</v>
      </c>
      <c r="AO96" s="16846">
        <v>46387.493796296294</v>
      </c>
      <c r="AP96" s="16847" t="s">
        <v>66</v>
      </c>
      <c r="AQ96" s="16844">
        <v>56.38</v>
      </c>
      <c r="AR96" s="16844"/>
      <c r="AS96" s="16845"/>
      <c r="AT96" s="16846">
        <v>46388.501550925925</v>
      </c>
      <c r="AU96" s="16847" t="s">
        <v>66</v>
      </c>
      <c r="AV96" s="16846">
        <v>46752.50166666666</v>
      </c>
      <c r="AW96" s="16847" t="s">
        <v>66</v>
      </c>
      <c r="AX96" s="16844">
        <v>58.05</v>
      </c>
      <c r="AY96" s="16844"/>
      <c r="AZ96" s="16845"/>
      <c r="BA96" s="16846">
        <v>46753.501805555556</v>
      </c>
      <c r="BB96" s="16847" t="s">
        <v>66</v>
      </c>
      <c r="BC96" s="16846">
        <v>47118.50201388889</v>
      </c>
      <c r="BD96" s="16847" t="s">
        <v>19</v>
      </c>
      <c r="BE96" s="16708"/>
      <c r="BF96" s="16708"/>
      <c r="BG96" s="16709"/>
      <c r="BH96" s="16710"/>
      <c r="BI96" s="16711" t="s">
        <v>66</v>
      </c>
      <c r="BJ96" s="16710"/>
      <c r="BK96" s="16711" t="s">
        <v>66</v>
      </c>
      <c r="BL96" s="16848"/>
      <c r="BM9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96" s="16819">
        <f>STRCHECKDATE(V97:BL97)</f>
      </c>
      <c r="BO96" s="16820"/>
      <c r="BP96" s="16820" t="str">
        <f>IF(T96="","",T96)</f>
        <v>без НДС</v>
      </c>
      <c r="BQ96" s="16820"/>
      <c r="BR96" s="16820"/>
      <c r="BS96" s="16821">
        <v>0</v>
      </c>
    </row>
    <row s="23906" customFormat="1" customHeight="1" ht="14.25">
      <c r="A97" s="16804"/>
      <c r="B97" s="16804"/>
      <c r="C97" s="16804"/>
      <c r="D97" s="16804"/>
      <c r="E97" s="16805"/>
      <c r="F97" s="16805"/>
      <c r="G97" s="16805">
        <v>1</v>
      </c>
      <c r="H97" s="16805"/>
      <c r="I97" s="16835"/>
      <c r="J97" s="16835"/>
      <c r="K97" s="16823"/>
      <c r="L97" s="16807"/>
      <c r="M97" s="16824"/>
      <c r="N97" s="16824"/>
      <c r="O97" s="16824"/>
      <c r="P97" s="16825"/>
      <c r="Q97" s="16825"/>
      <c r="R97" s="16836"/>
      <c r="S97" s="16851"/>
      <c r="T97" s="16814"/>
      <c r="U97" s="16814"/>
      <c r="V97" s="16708"/>
      <c r="W97" s="16708"/>
      <c r="X97" s="16716" t="str">
        <f>Y96&amp;"-"&amp;AA96</f>
        <v>-</v>
      </c>
      <c r="Y97" s="16711"/>
      <c r="Z97" s="16711"/>
      <c r="AA97" s="16711"/>
      <c r="AB97" s="16711"/>
      <c r="AC97" s="16852"/>
      <c r="AD97" s="16852"/>
      <c r="AE97" s="16716" t="str">
        <f>AF96&amp;"-"&amp;AH96</f>
        <v>45658.486979166664-46022.48707175926</v>
      </c>
      <c r="AF97" s="16853"/>
      <c r="AG97" s="16847"/>
      <c r="AH97" s="16854"/>
      <c r="AI97" s="16847"/>
      <c r="AJ97" s="16852"/>
      <c r="AK97" s="16852"/>
      <c r="AL97" s="16716" t="str">
        <f>AM96&amp;"-"&amp;AO96</f>
        <v>46023.49371527778-46387.493796296294</v>
      </c>
      <c r="AM97" s="16853"/>
      <c r="AN97" s="16847"/>
      <c r="AO97" s="16853"/>
      <c r="AP97" s="16847"/>
      <c r="AQ97" s="16852"/>
      <c r="AR97" s="16852"/>
      <c r="AS97" s="16716" t="str">
        <f>AT96&amp;"-"&amp;AV96</f>
        <v>46388.501550925925-46752.50166666666</v>
      </c>
      <c r="AT97" s="16853"/>
      <c r="AU97" s="16847"/>
      <c r="AV97" s="16853"/>
      <c r="AW97" s="16847"/>
      <c r="AX97" s="16852"/>
      <c r="AY97" s="16852"/>
      <c r="AZ97" s="16716" t="str">
        <f>BA96&amp;"-"&amp;BC96</f>
        <v>46753.501805555556-47118.50201388889</v>
      </c>
      <c r="BA97" s="16853"/>
      <c r="BB97" s="16847"/>
      <c r="BC97" s="16853"/>
      <c r="BD97" s="16847"/>
      <c r="BE97" s="16708"/>
      <c r="BF97" s="16708"/>
      <c r="BG97" s="16716" t="str">
        <f>BH96&amp;"-"&amp;BJ96</f>
        <v>-</v>
      </c>
      <c r="BH97" s="16711"/>
      <c r="BI97" s="16711"/>
      <c r="BJ97" s="16711"/>
      <c r="BK97" s="16711"/>
      <c r="BL97" s="16855"/>
      <c r="BM97" s="16849"/>
      <c r="BN97" s="16819"/>
      <c r="BO97" s="16820"/>
      <c r="BP97" s="16820" t="str">
        <f>IF(T97="","",T97)</f>
        <v/>
      </c>
      <c r="BQ97" s="16820"/>
      <c r="BR97" s="16820"/>
      <c r="BS97" s="16821">
        <v>0</v>
      </c>
    </row>
    <row s="23907" customFormat="1" customHeight="1" ht="21">
      <c r="A98" s="16804"/>
      <c r="B98" s="16804"/>
      <c r="C98" s="16804"/>
      <c r="D98" s="16804"/>
      <c r="E98" s="16805"/>
      <c r="F98" s="16805"/>
      <c r="G98" s="16805">
        <v>1</v>
      </c>
      <c r="H98" s="16805"/>
      <c r="I98" s="16835"/>
      <c r="J98" s="16823"/>
      <c r="K98" s="16804"/>
      <c r="L98" s="16807"/>
      <c r="M98" s="16824"/>
      <c r="N98" s="16824"/>
      <c r="O98" s="16824"/>
      <c r="P98" s="16825"/>
      <c r="Q98" s="16825"/>
      <c r="R98" s="16826"/>
      <c r="S98" s="17641"/>
      <c r="T98" s="17642" t="s">
        <v>597</v>
      </c>
      <c r="U98" s="17643"/>
      <c r="V98" s="17644"/>
      <c r="W98" s="17645"/>
      <c r="X98" s="17646"/>
      <c r="Y98" s="17647"/>
      <c r="Z98" s="17648"/>
      <c r="AA98" s="17649"/>
      <c r="AB98" s="17650"/>
      <c r="AC98" s="17651"/>
      <c r="AD98" s="17652"/>
      <c r="AE98" s="17653"/>
      <c r="AF98" s="17654"/>
      <c r="AG98" s="17655"/>
      <c r="AH98" s="17656"/>
      <c r="AI98" s="17657"/>
      <c r="AJ98" s="17658"/>
      <c r="AK98" s="17659"/>
      <c r="AL98" s="17660"/>
      <c r="AM98" s="17661"/>
      <c r="AN98" s="17662"/>
      <c r="AO98" s="17663"/>
      <c r="AP98" s="17664"/>
      <c r="AQ98" s="17665"/>
      <c r="AR98" s="17666"/>
      <c r="AS98" s="17667"/>
      <c r="AT98" s="17668"/>
      <c r="AU98" s="17669"/>
      <c r="AV98" s="17670"/>
      <c r="AW98" s="17671"/>
      <c r="AX98" s="17672"/>
      <c r="AY98" s="17673"/>
      <c r="AZ98" s="17674"/>
      <c r="BA98" s="17675"/>
      <c r="BB98" s="17676"/>
      <c r="BC98" s="17677"/>
      <c r="BD98" s="17678"/>
      <c r="BE98" s="17679"/>
      <c r="BF98" s="17680"/>
      <c r="BG98" s="17681"/>
      <c r="BH98" s="17682"/>
      <c r="BI98" s="17683"/>
      <c r="BJ98" s="17684"/>
      <c r="BK98" s="17685"/>
      <c r="BL98" s="17686"/>
      <c r="BM98" s="16818" t="s">
        <v>598</v>
      </c>
      <c r="BN98" s="16819"/>
      <c r="BO98" s="16820"/>
      <c r="BP98" s="16820" t="str">
        <f>IF(T98="","",T98)</f>
        <v>Добавить значение признака дифференциации</v>
      </c>
      <c r="BQ98" s="16820"/>
      <c r="BR98" s="16820"/>
      <c r="BS98" s="16821">
        <v>0</v>
      </c>
    </row>
    <row s="23954" customFormat="1" customHeight="1" ht="21">
      <c r="A99" s="16804"/>
      <c r="B99" s="16804"/>
      <c r="C99" s="16804"/>
      <c r="D99" s="16804"/>
      <c r="E99" s="16805"/>
      <c r="F99" s="16805"/>
      <c r="G99" s="16805">
        <v>1</v>
      </c>
      <c r="H99" s="16805"/>
      <c r="I99" s="16823"/>
      <c r="J99" s="16804"/>
      <c r="K99" s="16804"/>
      <c r="L99" s="16807"/>
      <c r="M99" s="16824"/>
      <c r="N99" s="16824"/>
      <c r="O99" s="16824"/>
      <c r="P99" s="16825"/>
      <c r="Q99" s="16825"/>
      <c r="R99" s="16826"/>
      <c r="S99" s="17688"/>
      <c r="T99" s="17689" t="s">
        <v>526</v>
      </c>
      <c r="U99" s="17690"/>
      <c r="V99" s="17691"/>
      <c r="W99" s="17692"/>
      <c r="X99" s="17693"/>
      <c r="Y99" s="17694"/>
      <c r="Z99" s="17695"/>
      <c r="AA99" s="17696"/>
      <c r="AB99" s="17697"/>
      <c r="AC99" s="17698"/>
      <c r="AD99" s="17699"/>
      <c r="AE99" s="17700"/>
      <c r="AF99" s="17701"/>
      <c r="AG99" s="17702"/>
      <c r="AH99" s="17703"/>
      <c r="AI99" s="17704"/>
      <c r="AJ99" s="17705"/>
      <c r="AK99" s="17706"/>
      <c r="AL99" s="17707"/>
      <c r="AM99" s="17708"/>
      <c r="AN99" s="17709"/>
      <c r="AO99" s="17710"/>
      <c r="AP99" s="17711"/>
      <c r="AQ99" s="17712"/>
      <c r="AR99" s="17713"/>
      <c r="AS99" s="17714"/>
      <c r="AT99" s="17715"/>
      <c r="AU99" s="17716"/>
      <c r="AV99" s="17717"/>
      <c r="AW99" s="17718"/>
      <c r="AX99" s="17719"/>
      <c r="AY99" s="17720"/>
      <c r="AZ99" s="17721"/>
      <c r="BA99" s="17722"/>
      <c r="BB99" s="17723"/>
      <c r="BC99" s="17724"/>
      <c r="BD99" s="17725"/>
      <c r="BE99" s="17726"/>
      <c r="BF99" s="17727"/>
      <c r="BG99" s="17728"/>
      <c r="BH99" s="17729"/>
      <c r="BI99" s="17730"/>
      <c r="BJ99" s="17731"/>
      <c r="BK99" s="17732"/>
      <c r="BL99" s="17733"/>
      <c r="BM99" s="17734"/>
      <c r="BN99" s="16819"/>
      <c r="BO99" s="16820"/>
      <c r="BP99" s="16820" t="str">
        <f>IF(T99="","",T99)</f>
        <v>Добавить группу потребителей</v>
      </c>
      <c r="BQ99" s="16820"/>
      <c r="BR99" s="16820"/>
      <c r="BS99" s="16821">
        <v>0</v>
      </c>
    </row>
    <row s="24002" customFormat="1" customHeight="1" ht="14.25">
      <c r="A100" s="16804"/>
      <c r="B100" s="16804"/>
      <c r="C100" s="16804"/>
      <c r="D100" s="16804"/>
      <c r="E100" s="16805"/>
      <c r="F100" s="16805"/>
      <c r="G100" s="16805">
        <v>1</v>
      </c>
      <c r="H100" s="16806"/>
      <c r="I100" s="16804"/>
      <c r="J100" s="16804"/>
      <c r="K100" s="16804"/>
      <c r="L100" s="16807"/>
      <c r="M100" s="16808"/>
      <c r="N100" s="16808"/>
      <c r="O100" s="16952"/>
      <c r="P100" s="16953"/>
      <c r="Q100" s="16954"/>
      <c r="R100" s="16955"/>
      <c r="S100" s="17736"/>
      <c r="T100" s="17737" t="s">
        <v>599</v>
      </c>
      <c r="U100" s="17738"/>
      <c r="V100" s="17739"/>
      <c r="W100" s="17740"/>
      <c r="X100" s="17741"/>
      <c r="Y100" s="17742"/>
      <c r="Z100" s="17743"/>
      <c r="AA100" s="17744"/>
      <c r="AB100" s="17745"/>
      <c r="AC100" s="17746"/>
      <c r="AD100" s="17747"/>
      <c r="AE100" s="17748"/>
      <c r="AF100" s="17749"/>
      <c r="AG100" s="17750"/>
      <c r="AH100" s="17751"/>
      <c r="AI100" s="17752"/>
      <c r="AJ100" s="17753"/>
      <c r="AK100" s="17754"/>
      <c r="AL100" s="17755"/>
      <c r="AM100" s="17756"/>
      <c r="AN100" s="17757"/>
      <c r="AO100" s="17758"/>
      <c r="AP100" s="17759"/>
      <c r="AQ100" s="17760"/>
      <c r="AR100" s="17761"/>
      <c r="AS100" s="17762"/>
      <c r="AT100" s="17763"/>
      <c r="AU100" s="17764"/>
      <c r="AV100" s="17765"/>
      <c r="AW100" s="17766"/>
      <c r="AX100" s="17767"/>
      <c r="AY100" s="17768"/>
      <c r="AZ100" s="17769"/>
      <c r="BA100" s="17770"/>
      <c r="BB100" s="17771"/>
      <c r="BC100" s="17772"/>
      <c r="BD100" s="17773"/>
      <c r="BE100" s="17774"/>
      <c r="BF100" s="17775"/>
      <c r="BG100" s="17776"/>
      <c r="BH100" s="17777"/>
      <c r="BI100" s="17778"/>
      <c r="BJ100" s="17779"/>
      <c r="BK100" s="17780"/>
      <c r="BL100" s="17781"/>
      <c r="BM100" s="17782"/>
      <c r="BN100" s="16819"/>
      <c r="BO100" s="16820"/>
      <c r="BP100" s="16820" t="str">
        <f>IF(T100="","",T100)</f>
        <v>Добавить наименование признака дифференциации</v>
      </c>
      <c r="BQ100" s="16820"/>
      <c r="BR100" s="16820"/>
      <c r="BS100" s="16821">
        <v>0</v>
      </c>
    </row>
    <row s="24050" customFormat="1" customHeight="1" ht="14.25">
      <c r="A101" s="7468"/>
      <c r="B101" s="7468"/>
      <c r="C101" s="7468"/>
      <c r="D101" s="7468"/>
      <c r="E101" s="7281"/>
      <c r="F101" s="7282">
        <v>1</v>
      </c>
      <c r="G101" s="7468"/>
      <c r="H101" s="7468"/>
      <c r="I101" s="7468"/>
      <c r="J101" s="7468"/>
      <c r="K101" s="7468"/>
      <c r="L101" s="7469"/>
      <c r="M101" s="7470"/>
      <c r="N101" s="7470"/>
      <c r="O101" s="7151"/>
      <c r="P101" s="7471"/>
      <c r="Q101" s="7472"/>
      <c r="R101" s="7471"/>
      <c r="S101" s="7473"/>
      <c r="T101" s="7474" t="s">
        <v>280</v>
      </c>
      <c r="U101" s="7130"/>
      <c r="V101" s="7130"/>
      <c r="W101" s="7130"/>
      <c r="X101" s="7130"/>
      <c r="Y101" s="7130"/>
      <c r="Z101" s="7130"/>
      <c r="AA101" s="7130"/>
      <c r="AB101" s="7130"/>
      <c r="AC101" s="7130"/>
      <c r="AD101" s="7130"/>
      <c r="AE101" s="7130"/>
      <c r="AF101" s="7130"/>
      <c r="AG101" s="7130"/>
      <c r="AH101" s="7130"/>
      <c r="AI101" s="7130"/>
      <c r="AJ101" s="7130"/>
      <c r="AK101" s="7130"/>
      <c r="AL101" s="7130"/>
      <c r="AM101" s="7130"/>
      <c r="AN101" s="7130"/>
      <c r="AO101" s="7130"/>
      <c r="AP101" s="7475"/>
      <c r="AQ101" s="7130"/>
      <c r="AR101" s="7130"/>
      <c r="AS101" s="7130"/>
      <c r="AT101" s="7130"/>
      <c r="AU101" s="7130"/>
      <c r="AV101" s="7130"/>
      <c r="AW101" s="7130"/>
      <c r="AX101" s="7130"/>
      <c r="AY101" s="7130"/>
      <c r="AZ101" s="7130"/>
      <c r="BA101" s="7130"/>
      <c r="BB101" s="7130"/>
      <c r="BC101" s="7130"/>
      <c r="BD101" s="7130"/>
      <c r="BE101" s="7130"/>
      <c r="BF101" s="7130"/>
      <c r="BG101" s="7130"/>
      <c r="BH101" s="7130"/>
      <c r="BI101" s="7130"/>
      <c r="BJ101" s="7130"/>
      <c r="BK101" s="7130"/>
      <c r="BL101" s="7130"/>
      <c r="BM101" s="7130"/>
      <c r="BN101" s="7151"/>
      <c r="BO101" s="7293"/>
      <c r="BP101" s="7293" t="str">
        <f>IF(T101="","",T101)</f>
        <v>Добавить централизованную систему для дифференциации</v>
      </c>
      <c r="BQ101" s="7293"/>
      <c r="BR101" s="7293"/>
      <c r="BS101" s="7151">
        <v>0</v>
      </c>
    </row>
    <row s="24059" customFormat="1" customHeight="1" ht="23.25">
      <c r="A102" s="16804"/>
      <c r="B102" s="16804" t="s">
        <v>289</v>
      </c>
      <c r="C102" s="16804"/>
      <c r="D102" s="16804"/>
      <c r="E102" s="16805"/>
      <c r="F102" s="16806" t="s">
        <v>90</v>
      </c>
      <c r="G102" s="16804"/>
      <c r="H102" s="16804"/>
      <c r="I102" s="16804"/>
      <c r="J102" s="16804"/>
      <c r="K102" s="16804"/>
      <c r="L102" s="16807"/>
      <c r="M102" s="16808"/>
      <c r="N102" s="16808"/>
      <c r="O102" s="16808"/>
      <c r="P102" s="17793"/>
      <c r="Q102" s="16810"/>
      <c r="R102" s="16811"/>
      <c r="S102" s="16812" t="str">
        <f>INDEX(PT_DIFFERENTIATION_NUM_TER,MATCH(B102,PT_DIFFERENTIATION_TER_ID,0))</f>
        <v>1.3</v>
      </c>
      <c r="T102" s="17794" t="s">
        <v>511</v>
      </c>
      <c r="U102" s="16814"/>
      <c r="V102" s="16815"/>
      <c r="W102" s="16816"/>
      <c r="X102" s="16816"/>
      <c r="Y102" s="16816"/>
      <c r="Z102" s="16816"/>
      <c r="AA102" s="16816"/>
      <c r="AB102" s="16817"/>
      <c r="AC102" s="16815" t="str">
        <f>INDEX(PT_DIFFERENTIATION_TER,MATCH(B102,PT_DIFFERENTIATION_TER_ID,0))</f>
        <v>Территория 3</v>
      </c>
      <c r="AD102" s="16816"/>
      <c r="AE102" s="16816"/>
      <c r="AF102" s="16816"/>
      <c r="AG102" s="16816"/>
      <c r="AH102" s="16816"/>
      <c r="AI102" s="16816"/>
      <c r="AJ102" s="16815"/>
      <c r="AK102" s="16816"/>
      <c r="AL102" s="16816"/>
      <c r="AM102" s="16816"/>
      <c r="AN102" s="16816"/>
      <c r="AO102" s="16816"/>
      <c r="AP102" s="16817"/>
      <c r="AQ102" s="16815"/>
      <c r="AR102" s="16816"/>
      <c r="AS102" s="16816"/>
      <c r="AT102" s="16816"/>
      <c r="AU102" s="16816"/>
      <c r="AV102" s="16816"/>
      <c r="AW102" s="16817"/>
      <c r="AX102" s="16815"/>
      <c r="AY102" s="16816"/>
      <c r="AZ102" s="16816"/>
      <c r="BA102" s="16816"/>
      <c r="BB102" s="16816"/>
      <c r="BC102" s="16816"/>
      <c r="BD102" s="16817"/>
      <c r="BE102" s="16815"/>
      <c r="BF102" s="16816"/>
      <c r="BG102" s="16816"/>
      <c r="BH102" s="16816"/>
      <c r="BI102" s="16816"/>
      <c r="BJ102" s="16816"/>
      <c r="BK102" s="16817"/>
      <c r="BL102" s="16817"/>
      <c r="BM102" s="16818" t="s">
        <v>512</v>
      </c>
      <c r="BN102" s="16819"/>
      <c r="BO102" s="16820"/>
      <c r="BP102" s="16820" t="str">
        <f>IF(T102="","",T102)</f>
        <v>Территория действия тарифа</v>
      </c>
      <c r="BQ102" s="16820"/>
      <c r="BR102" s="16820"/>
      <c r="BS102" s="16821">
        <v>0</v>
      </c>
    </row>
    <row s="24062" customFormat="1" customHeight="1" ht="23.25">
      <c r="A103" s="16804"/>
      <c r="B103" s="16804"/>
      <c r="C103" s="16804" t="s">
        <v>290</v>
      </c>
      <c r="D103" s="16804"/>
      <c r="E103" s="16805"/>
      <c r="F103" s="16805" t="s">
        <v>103</v>
      </c>
      <c r="G103" s="16806">
        <v>1</v>
      </c>
      <c r="H103" s="16804"/>
      <c r="I103" s="16804"/>
      <c r="J103" s="16804"/>
      <c r="K103" s="16804"/>
      <c r="L103" s="16807"/>
      <c r="M103" s="16808"/>
      <c r="N103" s="16808"/>
      <c r="O103" s="16808"/>
      <c r="P103" s="16809"/>
      <c r="Q103" s="16810"/>
      <c r="R103" s="16811"/>
      <c r="S103" s="16812" t="str">
        <f>INDEX(PT_DIFFERENTIATION_NUM_CS,MATCH(C103,PT_DIFFERENTIATION_CS_ID,0))</f>
        <v>1.3.1</v>
      </c>
      <c r="T103" s="16813" t="s">
        <v>592</v>
      </c>
      <c r="U103" s="16814"/>
      <c r="V103" s="16815"/>
      <c r="W103" s="16816"/>
      <c r="X103" s="16816"/>
      <c r="Y103" s="16816"/>
      <c r="Z103" s="16816"/>
      <c r="AA103" s="16816"/>
      <c r="AB103" s="16817"/>
      <c r="AC103" s="16815" t="str">
        <f>INDEX(PT_DIFFERENTIATION_CS,MATCH(C103,PT_DIFFERENTIATION_CS_ID,0))</f>
        <v>Военный городок Графский</v>
      </c>
      <c r="AD103" s="16816"/>
      <c r="AE103" s="16816"/>
      <c r="AF103" s="16816"/>
      <c r="AG103" s="16816"/>
      <c r="AH103" s="16816"/>
      <c r="AI103" s="16816"/>
      <c r="AJ103" s="16815"/>
      <c r="AK103" s="16816"/>
      <c r="AL103" s="16816"/>
      <c r="AM103" s="16816"/>
      <c r="AN103" s="16816"/>
      <c r="AO103" s="16816"/>
      <c r="AP103" s="16817"/>
      <c r="AQ103" s="16815"/>
      <c r="AR103" s="16816"/>
      <c r="AS103" s="16816"/>
      <c r="AT103" s="16816"/>
      <c r="AU103" s="16816"/>
      <c r="AV103" s="16816"/>
      <c r="AW103" s="16817"/>
      <c r="AX103" s="16815"/>
      <c r="AY103" s="16816"/>
      <c r="AZ103" s="16816"/>
      <c r="BA103" s="16816"/>
      <c r="BB103" s="16816"/>
      <c r="BC103" s="16816"/>
      <c r="BD103" s="16817"/>
      <c r="BE103" s="16815"/>
      <c r="BF103" s="16816"/>
      <c r="BG103" s="16816"/>
      <c r="BH103" s="16816"/>
      <c r="BI103" s="16816"/>
      <c r="BJ103" s="16816"/>
      <c r="BK103" s="16817"/>
      <c r="BL103" s="16817"/>
      <c r="BM103" s="16818" t="s">
        <v>593</v>
      </c>
      <c r="BN103" s="16819"/>
      <c r="BO103" s="16820"/>
      <c r="BP103" s="16820" t="str">
        <f>IF(T103="","",T103)</f>
        <v>Наименование централизованной системы холодного водоснабжения</v>
      </c>
      <c r="BQ103" s="16820"/>
      <c r="BR103" s="16820"/>
      <c r="BS103" s="16821">
        <v>0</v>
      </c>
    </row>
    <row s="24063" customFormat="1" customHeight="1" ht="23.25">
      <c r="A104" s="16804"/>
      <c r="B104" s="16804"/>
      <c r="C104" s="16804"/>
      <c r="D104" s="16804"/>
      <c r="E104" s="16805"/>
      <c r="F104" s="16805" t="s">
        <v>103</v>
      </c>
      <c r="G104" s="16805"/>
      <c r="H104" s="16805"/>
      <c r="I104" s="16823" t="str">
        <f>S103&amp;".1"</f>
        <v>1.3.1.1</v>
      </c>
      <c r="J104" s="16804"/>
      <c r="K104" s="16804"/>
      <c r="L104" s="16807"/>
      <c r="M104" s="16824"/>
      <c r="N104" s="16824"/>
      <c r="O104" s="16824"/>
      <c r="P104" s="16825">
        <v>1</v>
      </c>
      <c r="Q104" s="16825"/>
      <c r="R104" s="16826"/>
      <c r="S104" s="16812" t="str">
        <f>$I104</f>
        <v>1.3.1.1</v>
      </c>
      <c r="T104" s="16827" t="s">
        <v>594</v>
      </c>
      <c r="U104" s="16814"/>
      <c r="V104" s="16828"/>
      <c r="W104" s="16829"/>
      <c r="X104" s="16829"/>
      <c r="Y104" s="16829"/>
      <c r="Z104" s="16829"/>
      <c r="AA104" s="16829"/>
      <c r="AB104" s="16830"/>
      <c r="AC104" s="16831"/>
      <c r="AD104" s="16832"/>
      <c r="AE104" s="16832"/>
      <c r="AF104" s="16832"/>
      <c r="AG104" s="16832"/>
      <c r="AH104" s="16832"/>
      <c r="AI104" s="16832"/>
      <c r="AJ104" s="16828"/>
      <c r="AK104" s="16829"/>
      <c r="AL104" s="16829"/>
      <c r="AM104" s="16829"/>
      <c r="AN104" s="16829"/>
      <c r="AO104" s="16829"/>
      <c r="AP104" s="16830"/>
      <c r="AQ104" s="16828"/>
      <c r="AR104" s="16829"/>
      <c r="AS104" s="16829"/>
      <c r="AT104" s="16829"/>
      <c r="AU104" s="16829"/>
      <c r="AV104" s="16829"/>
      <c r="AW104" s="16830"/>
      <c r="AX104" s="16828"/>
      <c r="AY104" s="16829"/>
      <c r="AZ104" s="16829"/>
      <c r="BA104" s="16829"/>
      <c r="BB104" s="16829"/>
      <c r="BC104" s="16829"/>
      <c r="BD104" s="16830"/>
      <c r="BE104" s="16828"/>
      <c r="BF104" s="16829"/>
      <c r="BG104" s="16829"/>
      <c r="BH104" s="16829"/>
      <c r="BI104" s="16829"/>
      <c r="BJ104" s="16829"/>
      <c r="BK104" s="16830"/>
      <c r="BL104" s="16833"/>
      <c r="BM104" s="16818" t="s">
        <v>595</v>
      </c>
      <c r="BN104" s="16819"/>
      <c r="BO104" s="16820"/>
      <c r="BP104" s="16820" t="str">
        <f>IF(T104="","",T104)</f>
        <v>Наименование признака дифференциации</v>
      </c>
      <c r="BQ104" s="16820"/>
      <c r="BR104" s="16820"/>
      <c r="BS104" s="16821">
        <v>0</v>
      </c>
    </row>
    <row s="24064" customFormat="1" customHeight="1" ht="23.25">
      <c r="A105" s="16804"/>
      <c r="B105" s="16804"/>
      <c r="C105" s="16804"/>
      <c r="D105" s="16804"/>
      <c r="E105" s="16805"/>
      <c r="F105" s="16805" t="s">
        <v>103</v>
      </c>
      <c r="G105" s="16805"/>
      <c r="H105" s="16805"/>
      <c r="I105" s="16835"/>
      <c r="J105" s="16823" t="str">
        <f>I104&amp;".1"</f>
        <v>1.3.1.1.1</v>
      </c>
      <c r="K105" s="16804"/>
      <c r="L105" s="16807" t="s">
        <v>520</v>
      </c>
      <c r="M105" s="16824"/>
      <c r="N105" s="16824"/>
      <c r="O105" s="16824"/>
      <c r="P105" s="16825"/>
      <c r="Q105" s="16825">
        <v>1</v>
      </c>
      <c r="R105" s="16836"/>
      <c r="S105" s="16812" t="str">
        <f>$J105</f>
        <v>1.3.1.1.1</v>
      </c>
      <c r="T105" s="16837" t="s">
        <v>521</v>
      </c>
      <c r="U105" s="16814"/>
      <c r="V105" s="16838"/>
      <c r="W105" s="16839"/>
      <c r="X105" s="16839"/>
      <c r="Y105" s="16839"/>
      <c r="Z105" s="16839"/>
      <c r="AA105" s="16839"/>
      <c r="AB105" s="16840"/>
      <c r="AC105" s="16838" t="s">
        <v>607</v>
      </c>
      <c r="AD105" s="16839"/>
      <c r="AE105" s="16839"/>
      <c r="AF105" s="16839"/>
      <c r="AG105" s="16839"/>
      <c r="AH105" s="16839"/>
      <c r="AI105" s="16839"/>
      <c r="AJ105" s="16838"/>
      <c r="AK105" s="16839"/>
      <c r="AL105" s="16839"/>
      <c r="AM105" s="16839"/>
      <c r="AN105" s="16839"/>
      <c r="AO105" s="16839"/>
      <c r="AP105" s="16840"/>
      <c r="AQ105" s="16838"/>
      <c r="AR105" s="16839"/>
      <c r="AS105" s="16839"/>
      <c r="AT105" s="16839"/>
      <c r="AU105" s="16839"/>
      <c r="AV105" s="16839"/>
      <c r="AW105" s="16840"/>
      <c r="AX105" s="16838"/>
      <c r="AY105" s="16839"/>
      <c r="AZ105" s="16839"/>
      <c r="BA105" s="16839"/>
      <c r="BB105" s="16839"/>
      <c r="BC105" s="16839"/>
      <c r="BD105" s="16840"/>
      <c r="BE105" s="16838"/>
      <c r="BF105" s="16839"/>
      <c r="BG105" s="16839"/>
      <c r="BH105" s="16839"/>
      <c r="BI105" s="16839"/>
      <c r="BJ105" s="16839"/>
      <c r="BK105" s="16840"/>
      <c r="BL105" s="16840"/>
      <c r="BM105" s="16841" t="s">
        <v>596</v>
      </c>
      <c r="BN105" s="16819"/>
      <c r="BO105" s="16820"/>
      <c r="BP105" s="16820" t="str">
        <f>IF(T105="","",T105)</f>
        <v>Группа потребителей</v>
      </c>
      <c r="BQ105" s="16820"/>
      <c r="BR105" s="16820"/>
      <c r="BS105" s="16821">
        <v>0</v>
      </c>
    </row>
    <row s="24065" customFormat="1" customHeight="1" ht="23.25">
      <c r="A106" s="16804"/>
      <c r="B106" s="16804"/>
      <c r="C106" s="16804"/>
      <c r="D106" s="16804"/>
      <c r="E106" s="16805"/>
      <c r="F106" s="16805" t="s">
        <v>103</v>
      </c>
      <c r="G106" s="16805"/>
      <c r="H106" s="16805"/>
      <c r="I106" s="16835"/>
      <c r="J106" s="16835"/>
      <c r="K106" s="16823" t="str">
        <f>J105&amp;".1"</f>
        <v>1.3.1.1.1.1</v>
      </c>
      <c r="L106" s="16807"/>
      <c r="M106" s="16824"/>
      <c r="N106" s="16824"/>
      <c r="O106" s="16824"/>
      <c r="P106" s="16825"/>
      <c r="Q106" s="16825"/>
      <c r="R106" s="16836">
        <v>1</v>
      </c>
      <c r="S106" s="16812" t="str">
        <f>$K106</f>
        <v>1.3.1.1.1.1</v>
      </c>
      <c r="T106" s="16843" t="s">
        <v>590</v>
      </c>
      <c r="U106" s="16814"/>
      <c r="V106" s="16708"/>
      <c r="W106" s="16708"/>
      <c r="X106" s="16709"/>
      <c r="Y106" s="16710"/>
      <c r="Z106" s="16711" t="s">
        <v>66</v>
      </c>
      <c r="AA106" s="16710"/>
      <c r="AB106" s="16711" t="s">
        <v>66</v>
      </c>
      <c r="AC106" s="16844">
        <v>81.34</v>
      </c>
      <c r="AD106" s="16844"/>
      <c r="AE106" s="16845"/>
      <c r="AF106" s="16846">
        <v>45658.4871875</v>
      </c>
      <c r="AG106" s="16847" t="s">
        <v>66</v>
      </c>
      <c r="AH106" s="16712">
        <v>46022.487280092595</v>
      </c>
      <c r="AI106" s="16847" t="s">
        <v>66</v>
      </c>
      <c r="AJ106" s="16844">
        <v>79.36</v>
      </c>
      <c r="AK106" s="16844"/>
      <c r="AL106" s="16845"/>
      <c r="AM106" s="16846">
        <v>46023.49392361111</v>
      </c>
      <c r="AN106" s="16847" t="s">
        <v>66</v>
      </c>
      <c r="AO106" s="16846">
        <v>46387.49402777778</v>
      </c>
      <c r="AP106" s="16847" t="s">
        <v>66</v>
      </c>
      <c r="AQ106" s="16844">
        <v>81.07</v>
      </c>
      <c r="AR106" s="16844"/>
      <c r="AS106" s="16845"/>
      <c r="AT106" s="16846">
        <v>46388.50219907407</v>
      </c>
      <c r="AU106" s="16847" t="s">
        <v>66</v>
      </c>
      <c r="AV106" s="16846">
        <v>46752.50232638889</v>
      </c>
      <c r="AW106" s="16847" t="s">
        <v>66</v>
      </c>
      <c r="AX106" s="16844">
        <v>82.84</v>
      </c>
      <c r="AY106" s="16844"/>
      <c r="AZ106" s="16845"/>
      <c r="BA106" s="16846">
        <v>46753.502488425926</v>
      </c>
      <c r="BB106" s="16847" t="s">
        <v>66</v>
      </c>
      <c r="BC106" s="16846">
        <v>47118.50261574074</v>
      </c>
      <c r="BD106" s="16847" t="s">
        <v>19</v>
      </c>
      <c r="BE106" s="16708"/>
      <c r="BF106" s="16708"/>
      <c r="BG106" s="16709"/>
      <c r="BH106" s="16710"/>
      <c r="BI106" s="16711" t="s">
        <v>66</v>
      </c>
      <c r="BJ106" s="16710"/>
      <c r="BK106" s="16711" t="s">
        <v>66</v>
      </c>
      <c r="BL106" s="16848"/>
      <c r="BM10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06" s="16819">
        <f>STRCHECKDATE(V107:BL107)</f>
      </c>
      <c r="BO106" s="16820"/>
      <c r="BP106" s="16820" t="str">
        <f>IF(T106="","",T106)</f>
        <v>без НДС</v>
      </c>
      <c r="BQ106" s="16820"/>
      <c r="BR106" s="16820"/>
      <c r="BS106" s="16821">
        <v>0</v>
      </c>
    </row>
    <row s="24066" customFormat="1" customHeight="1" ht="14.25">
      <c r="A107" s="16804"/>
      <c r="B107" s="16804"/>
      <c r="C107" s="16804"/>
      <c r="D107" s="16804"/>
      <c r="E107" s="16805"/>
      <c r="F107" s="16805" t="s">
        <v>103</v>
      </c>
      <c r="G107" s="16805"/>
      <c r="H107" s="16805"/>
      <c r="I107" s="16835"/>
      <c r="J107" s="16835"/>
      <c r="K107" s="16823"/>
      <c r="L107" s="16807"/>
      <c r="M107" s="16824"/>
      <c r="N107" s="16824"/>
      <c r="O107" s="16824"/>
      <c r="P107" s="16825"/>
      <c r="Q107" s="16825"/>
      <c r="R107" s="16836"/>
      <c r="S107" s="16851"/>
      <c r="T107" s="16814"/>
      <c r="U107" s="16814"/>
      <c r="V107" s="16708"/>
      <c r="W107" s="16708"/>
      <c r="X107" s="16716" t="str">
        <f>Y106&amp;"-"&amp;AA106</f>
        <v>-</v>
      </c>
      <c r="Y107" s="16711"/>
      <c r="Z107" s="16711"/>
      <c r="AA107" s="16711"/>
      <c r="AB107" s="16711"/>
      <c r="AC107" s="16852"/>
      <c r="AD107" s="16852"/>
      <c r="AE107" s="16716" t="str">
        <f>AF106&amp;"-"&amp;AH106</f>
        <v>45658.4871875-46022.487280092595</v>
      </c>
      <c r="AF107" s="16853"/>
      <c r="AG107" s="16847"/>
      <c r="AH107" s="16854"/>
      <c r="AI107" s="16847"/>
      <c r="AJ107" s="16852"/>
      <c r="AK107" s="16852"/>
      <c r="AL107" s="16716" t="str">
        <f>AM106&amp;"-"&amp;AO106</f>
        <v>46023.49392361111-46387.49402777778</v>
      </c>
      <c r="AM107" s="16853"/>
      <c r="AN107" s="16847"/>
      <c r="AO107" s="16853"/>
      <c r="AP107" s="16847"/>
      <c r="AQ107" s="16852"/>
      <c r="AR107" s="16852"/>
      <c r="AS107" s="16716" t="str">
        <f>AT106&amp;"-"&amp;AV106</f>
        <v>46388.50219907407-46752.50232638889</v>
      </c>
      <c r="AT107" s="16853"/>
      <c r="AU107" s="16847"/>
      <c r="AV107" s="16853"/>
      <c r="AW107" s="16847"/>
      <c r="AX107" s="16852"/>
      <c r="AY107" s="16852"/>
      <c r="AZ107" s="16716" t="str">
        <f>BA106&amp;"-"&amp;BC106</f>
        <v>46753.502488425926-47118.50261574074</v>
      </c>
      <c r="BA107" s="16853"/>
      <c r="BB107" s="16847"/>
      <c r="BC107" s="16853"/>
      <c r="BD107" s="16847"/>
      <c r="BE107" s="16708"/>
      <c r="BF107" s="16708"/>
      <c r="BG107" s="16716" t="str">
        <f>BH106&amp;"-"&amp;BJ106</f>
        <v>-</v>
      </c>
      <c r="BH107" s="16711"/>
      <c r="BI107" s="16711"/>
      <c r="BJ107" s="16711"/>
      <c r="BK107" s="16711"/>
      <c r="BL107" s="16855"/>
      <c r="BM107" s="16849"/>
      <c r="BN107" s="16819"/>
      <c r="BO107" s="16820"/>
      <c r="BP107" s="16820" t="str">
        <f>IF(T107="","",T107)</f>
        <v/>
      </c>
      <c r="BQ107" s="16820"/>
      <c r="BR107" s="16820"/>
      <c r="BS107" s="16821">
        <v>0</v>
      </c>
    </row>
    <row s="24067" customFormat="1" customHeight="1" ht="21">
      <c r="A108" s="16804"/>
      <c r="B108" s="16804"/>
      <c r="C108" s="16804"/>
      <c r="D108" s="16804"/>
      <c r="E108" s="16805"/>
      <c r="F108" s="16805" t="s">
        <v>103</v>
      </c>
      <c r="G108" s="16805"/>
      <c r="H108" s="16805"/>
      <c r="I108" s="16835"/>
      <c r="J108" s="16823"/>
      <c r="K108" s="16804"/>
      <c r="L108" s="16807"/>
      <c r="M108" s="16824"/>
      <c r="N108" s="16824"/>
      <c r="O108" s="16824"/>
      <c r="P108" s="16825"/>
      <c r="Q108" s="16825"/>
      <c r="R108" s="16826"/>
      <c r="S108" s="17801"/>
      <c r="T108" s="17802" t="s">
        <v>597</v>
      </c>
      <c r="U108" s="17803"/>
      <c r="V108" s="17804"/>
      <c r="W108" s="17805"/>
      <c r="X108" s="17806"/>
      <c r="Y108" s="17807"/>
      <c r="Z108" s="17808"/>
      <c r="AA108" s="17809"/>
      <c r="AB108" s="17810"/>
      <c r="AC108" s="17811"/>
      <c r="AD108" s="17812"/>
      <c r="AE108" s="17813"/>
      <c r="AF108" s="17814"/>
      <c r="AG108" s="17815"/>
      <c r="AH108" s="17816"/>
      <c r="AI108" s="17817"/>
      <c r="AJ108" s="17818"/>
      <c r="AK108" s="17819"/>
      <c r="AL108" s="17820"/>
      <c r="AM108" s="17821"/>
      <c r="AN108" s="17822"/>
      <c r="AO108" s="17823"/>
      <c r="AP108" s="17824"/>
      <c r="AQ108" s="17825"/>
      <c r="AR108" s="17826"/>
      <c r="AS108" s="17827"/>
      <c r="AT108" s="17828"/>
      <c r="AU108" s="17829"/>
      <c r="AV108" s="17830"/>
      <c r="AW108" s="17831"/>
      <c r="AX108" s="17832"/>
      <c r="AY108" s="17833"/>
      <c r="AZ108" s="17834"/>
      <c r="BA108" s="17835"/>
      <c r="BB108" s="17836"/>
      <c r="BC108" s="17837"/>
      <c r="BD108" s="17838"/>
      <c r="BE108" s="17839"/>
      <c r="BF108" s="17840"/>
      <c r="BG108" s="17841"/>
      <c r="BH108" s="17842"/>
      <c r="BI108" s="17843"/>
      <c r="BJ108" s="17844"/>
      <c r="BK108" s="17845"/>
      <c r="BL108" s="17846"/>
      <c r="BM108" s="16818" t="s">
        <v>598</v>
      </c>
      <c r="BN108" s="16819"/>
      <c r="BO108" s="16820"/>
      <c r="BP108" s="16820" t="str">
        <f>IF(T108="","",T108)</f>
        <v>Добавить значение признака дифференциации</v>
      </c>
      <c r="BQ108" s="16820"/>
      <c r="BR108" s="16820"/>
      <c r="BS108" s="16821">
        <v>0</v>
      </c>
    </row>
    <row s="24114" customFormat="1" customHeight="1" ht="21">
      <c r="A109" s="16804"/>
      <c r="B109" s="16804"/>
      <c r="C109" s="16804"/>
      <c r="D109" s="16804"/>
      <c r="E109" s="16805"/>
      <c r="F109" s="16805" t="s">
        <v>103</v>
      </c>
      <c r="G109" s="16805"/>
      <c r="H109" s="16805"/>
      <c r="I109" s="16823"/>
      <c r="J109" s="16804"/>
      <c r="K109" s="16804"/>
      <c r="L109" s="16807"/>
      <c r="M109" s="16824"/>
      <c r="N109" s="16824"/>
      <c r="O109" s="16824"/>
      <c r="P109" s="16825"/>
      <c r="Q109" s="16825"/>
      <c r="R109" s="16826"/>
      <c r="S109" s="17848"/>
      <c r="T109" s="17849" t="s">
        <v>526</v>
      </c>
      <c r="U109" s="17850"/>
      <c r="V109" s="17851"/>
      <c r="W109" s="17852"/>
      <c r="X109" s="17853"/>
      <c r="Y109" s="17854"/>
      <c r="Z109" s="17855"/>
      <c r="AA109" s="17856"/>
      <c r="AB109" s="17857"/>
      <c r="AC109" s="17858"/>
      <c r="AD109" s="17859"/>
      <c r="AE109" s="17860"/>
      <c r="AF109" s="17861"/>
      <c r="AG109" s="17862"/>
      <c r="AH109" s="17863"/>
      <c r="AI109" s="17864"/>
      <c r="AJ109" s="17865"/>
      <c r="AK109" s="17866"/>
      <c r="AL109" s="17867"/>
      <c r="AM109" s="17868"/>
      <c r="AN109" s="17869"/>
      <c r="AO109" s="17870"/>
      <c r="AP109" s="17871"/>
      <c r="AQ109" s="17872"/>
      <c r="AR109" s="17873"/>
      <c r="AS109" s="17874"/>
      <c r="AT109" s="17875"/>
      <c r="AU109" s="17876"/>
      <c r="AV109" s="17877"/>
      <c r="AW109" s="17878"/>
      <c r="AX109" s="17879"/>
      <c r="AY109" s="17880"/>
      <c r="AZ109" s="17881"/>
      <c r="BA109" s="17882"/>
      <c r="BB109" s="17883"/>
      <c r="BC109" s="17884"/>
      <c r="BD109" s="17885"/>
      <c r="BE109" s="17886"/>
      <c r="BF109" s="17887"/>
      <c r="BG109" s="17888"/>
      <c r="BH109" s="17889"/>
      <c r="BI109" s="17890"/>
      <c r="BJ109" s="17891"/>
      <c r="BK109" s="17892"/>
      <c r="BL109" s="17893"/>
      <c r="BM109" s="17894"/>
      <c r="BN109" s="16819"/>
      <c r="BO109" s="16820"/>
      <c r="BP109" s="16820" t="str">
        <f>IF(T109="","",T109)</f>
        <v>Добавить группу потребителей</v>
      </c>
      <c r="BQ109" s="16820"/>
      <c r="BR109" s="16820"/>
      <c r="BS109" s="16821">
        <v>0</v>
      </c>
    </row>
    <row s="24162" customFormat="1" customHeight="1" ht="14.25">
      <c r="A110" s="16804"/>
      <c r="B110" s="16804"/>
      <c r="C110" s="16804"/>
      <c r="D110" s="16804"/>
      <c r="E110" s="16805"/>
      <c r="F110" s="16805" t="s">
        <v>103</v>
      </c>
      <c r="G110" s="16805"/>
      <c r="H110" s="16806"/>
      <c r="I110" s="16804"/>
      <c r="J110" s="16804"/>
      <c r="K110" s="16804"/>
      <c r="L110" s="16807"/>
      <c r="M110" s="16808"/>
      <c r="N110" s="16808"/>
      <c r="O110" s="16952"/>
      <c r="P110" s="16953"/>
      <c r="Q110" s="16954"/>
      <c r="R110" s="16955"/>
      <c r="S110" s="17896"/>
      <c r="T110" s="17897" t="s">
        <v>599</v>
      </c>
      <c r="U110" s="17898"/>
      <c r="V110" s="17899"/>
      <c r="W110" s="17900"/>
      <c r="X110" s="17901"/>
      <c r="Y110" s="17902"/>
      <c r="Z110" s="17903"/>
      <c r="AA110" s="17904"/>
      <c r="AB110" s="17905"/>
      <c r="AC110" s="17906"/>
      <c r="AD110" s="17907"/>
      <c r="AE110" s="17908"/>
      <c r="AF110" s="17909"/>
      <c r="AG110" s="17910"/>
      <c r="AH110" s="17911"/>
      <c r="AI110" s="17912"/>
      <c r="AJ110" s="17913"/>
      <c r="AK110" s="17914"/>
      <c r="AL110" s="17915"/>
      <c r="AM110" s="17916"/>
      <c r="AN110" s="17917"/>
      <c r="AO110" s="17918"/>
      <c r="AP110" s="17919"/>
      <c r="AQ110" s="17920"/>
      <c r="AR110" s="17921"/>
      <c r="AS110" s="17922"/>
      <c r="AT110" s="17923"/>
      <c r="AU110" s="17924"/>
      <c r="AV110" s="17925"/>
      <c r="AW110" s="17926"/>
      <c r="AX110" s="17927"/>
      <c r="AY110" s="17928"/>
      <c r="AZ110" s="17929"/>
      <c r="BA110" s="17930"/>
      <c r="BB110" s="17931"/>
      <c r="BC110" s="17932"/>
      <c r="BD110" s="17933"/>
      <c r="BE110" s="17934"/>
      <c r="BF110" s="17935"/>
      <c r="BG110" s="17936"/>
      <c r="BH110" s="17937"/>
      <c r="BI110" s="17938"/>
      <c r="BJ110" s="17939"/>
      <c r="BK110" s="17940"/>
      <c r="BL110" s="17941"/>
      <c r="BM110" s="17942"/>
      <c r="BN110" s="16819"/>
      <c r="BO110" s="16820"/>
      <c r="BP110" s="16820" t="str">
        <f>IF(T110="","",T110)</f>
        <v>Добавить наименование признака дифференциации</v>
      </c>
      <c r="BQ110" s="16820"/>
      <c r="BR110" s="16820"/>
      <c r="BS110" s="16821">
        <v>0</v>
      </c>
    </row>
    <row s="24210" customFormat="1" customHeight="1" ht="14.25">
      <c r="A111" s="17944"/>
      <c r="B111" s="17944"/>
      <c r="C111" s="17944"/>
      <c r="D111" s="17944"/>
      <c r="E111" s="16805"/>
      <c r="F111" s="16806" t="s">
        <v>103</v>
      </c>
      <c r="G111" s="17944"/>
      <c r="H111" s="17944"/>
      <c r="I111" s="17944"/>
      <c r="J111" s="17944"/>
      <c r="K111" s="17944"/>
      <c r="L111" s="17945"/>
      <c r="M111" s="17946"/>
      <c r="N111" s="17946"/>
      <c r="O111" s="16819"/>
      <c r="P111" s="17947"/>
      <c r="Q111" s="17948"/>
      <c r="R111" s="17947"/>
      <c r="S111" s="17949"/>
      <c r="T111" s="17950" t="s">
        <v>280</v>
      </c>
      <c r="U111" s="17951"/>
      <c r="V111" s="17951"/>
      <c r="W111" s="17951"/>
      <c r="X111" s="17951"/>
      <c r="Y111" s="17951"/>
      <c r="Z111" s="17951"/>
      <c r="AA111" s="17951"/>
      <c r="AB111" s="17951"/>
      <c r="AC111" s="17951"/>
      <c r="AD111" s="17951"/>
      <c r="AE111" s="17951"/>
      <c r="AF111" s="17951"/>
      <c r="AG111" s="17951"/>
      <c r="AH111" s="17951"/>
      <c r="AI111" s="17951"/>
      <c r="AJ111" s="17951"/>
      <c r="AK111" s="17951"/>
      <c r="AL111" s="17951"/>
      <c r="AM111" s="17951"/>
      <c r="AN111" s="17951"/>
      <c r="AO111" s="17951"/>
      <c r="AP111" s="17951"/>
      <c r="AQ111" s="17951"/>
      <c r="AR111" s="17951"/>
      <c r="AS111" s="17951"/>
      <c r="AT111" s="17951"/>
      <c r="AU111" s="17951"/>
      <c r="AV111" s="17951"/>
      <c r="AW111" s="17951"/>
      <c r="AX111" s="17951"/>
      <c r="AY111" s="17951"/>
      <c r="AZ111" s="17951"/>
      <c r="BA111" s="17951"/>
      <c r="BB111" s="17951"/>
      <c r="BC111" s="17951"/>
      <c r="BD111" s="17951"/>
      <c r="BE111" s="17951"/>
      <c r="BF111" s="17951"/>
      <c r="BG111" s="17951"/>
      <c r="BH111" s="17951"/>
      <c r="BI111" s="17951"/>
      <c r="BJ111" s="17951"/>
      <c r="BK111" s="17951"/>
      <c r="BL111" s="17951"/>
      <c r="BM111" s="17951"/>
      <c r="BN111" s="16819"/>
      <c r="BO111" s="16820"/>
      <c r="BP111" s="16820" t="str">
        <f>IF(T111="","",T111)</f>
        <v>Добавить централизованную систему для дифференциации</v>
      </c>
      <c r="BQ111" s="16820"/>
      <c r="BR111" s="16820"/>
      <c r="BS111" s="16819">
        <v>0</v>
      </c>
    </row>
    <row s="24219" customFormat="1" customHeight="1" ht="23.25">
      <c r="A112" s="16804"/>
      <c r="B112" s="16804" t="s">
        <v>293</v>
      </c>
      <c r="C112" s="16804"/>
      <c r="D112" s="16804"/>
      <c r="E112" s="16805"/>
      <c r="F112" s="16806" t="s">
        <v>91</v>
      </c>
      <c r="G112" s="16804"/>
      <c r="H112" s="16804"/>
      <c r="I112" s="16804"/>
      <c r="J112" s="16804"/>
      <c r="K112" s="16804"/>
      <c r="L112" s="16807"/>
      <c r="M112" s="16808"/>
      <c r="N112" s="16808"/>
      <c r="O112" s="16808"/>
      <c r="P112" s="17793"/>
      <c r="Q112" s="16810"/>
      <c r="R112" s="16811"/>
      <c r="S112" s="16812" t="str">
        <f>INDEX(PT_DIFFERENTIATION_NUM_TER,MATCH(B112,PT_DIFFERENTIATION_TER_ID,0))</f>
        <v>1.4</v>
      </c>
      <c r="T112" s="17794" t="s">
        <v>511</v>
      </c>
      <c r="U112" s="16814"/>
      <c r="V112" s="16815"/>
      <c r="W112" s="16816"/>
      <c r="X112" s="16816"/>
      <c r="Y112" s="16816"/>
      <c r="Z112" s="16816"/>
      <c r="AA112" s="16816"/>
      <c r="AB112" s="16817"/>
      <c r="AC112" s="16815" t="str">
        <f>INDEX(PT_DIFFERENTIATION_TER,MATCH(B112,PT_DIFFERENTIATION_TER_ID,0))</f>
        <v>Территория 4</v>
      </c>
      <c r="AD112" s="16816"/>
      <c r="AE112" s="16816"/>
      <c r="AF112" s="16816"/>
      <c r="AG112" s="16816"/>
      <c r="AH112" s="16816"/>
      <c r="AI112" s="16816"/>
      <c r="AJ112" s="16815"/>
      <c r="AK112" s="16816"/>
      <c r="AL112" s="16816"/>
      <c r="AM112" s="16816"/>
      <c r="AN112" s="16816"/>
      <c r="AO112" s="16816"/>
      <c r="AP112" s="16817"/>
      <c r="AQ112" s="16815"/>
      <c r="AR112" s="16816"/>
      <c r="AS112" s="16816"/>
      <c r="AT112" s="16816"/>
      <c r="AU112" s="16816"/>
      <c r="AV112" s="16816"/>
      <c r="AW112" s="16817"/>
      <c r="AX112" s="16815"/>
      <c r="AY112" s="16816"/>
      <c r="AZ112" s="16816"/>
      <c r="BA112" s="16816"/>
      <c r="BB112" s="16816"/>
      <c r="BC112" s="16816"/>
      <c r="BD112" s="16817"/>
      <c r="BE112" s="16815"/>
      <c r="BF112" s="16816"/>
      <c r="BG112" s="16816"/>
      <c r="BH112" s="16816"/>
      <c r="BI112" s="16816"/>
      <c r="BJ112" s="16816"/>
      <c r="BK112" s="16817"/>
      <c r="BL112" s="16817"/>
      <c r="BM112" s="16818" t="s">
        <v>512</v>
      </c>
      <c r="BN112" s="16819"/>
      <c r="BO112" s="16820"/>
      <c r="BP112" s="16820" t="str">
        <f>IF(T112="","",T112)</f>
        <v>Территория действия тарифа</v>
      </c>
      <c r="BQ112" s="16820"/>
      <c r="BR112" s="16820"/>
      <c r="BS112" s="16821">
        <v>0</v>
      </c>
    </row>
    <row s="24220" customFormat="1" customHeight="1" ht="23.25">
      <c r="A113" s="16804"/>
      <c r="B113" s="16804"/>
      <c r="C113" s="16804" t="s">
        <v>294</v>
      </c>
      <c r="D113" s="16804"/>
      <c r="E113" s="16805"/>
      <c r="F113" s="16805" t="s">
        <v>90</v>
      </c>
      <c r="G113" s="16806">
        <v>1</v>
      </c>
      <c r="H113" s="16804"/>
      <c r="I113" s="16804"/>
      <c r="J113" s="16804"/>
      <c r="K113" s="16804"/>
      <c r="L113" s="16807"/>
      <c r="M113" s="16808"/>
      <c r="N113" s="16808"/>
      <c r="O113" s="16808"/>
      <c r="P113" s="16809"/>
      <c r="Q113" s="16810"/>
      <c r="R113" s="16811"/>
      <c r="S113" s="16812" t="str">
        <f>INDEX(PT_DIFFERENTIATION_NUM_CS,MATCH(C113,PT_DIFFERENTIATION_CS_ID,0))</f>
        <v>1.4.1</v>
      </c>
      <c r="T113" s="16813" t="s">
        <v>592</v>
      </c>
      <c r="U113" s="16814"/>
      <c r="V113" s="16815"/>
      <c r="W113" s="16816"/>
      <c r="X113" s="16816"/>
      <c r="Y113" s="16816"/>
      <c r="Z113" s="16816"/>
      <c r="AA113" s="16816"/>
      <c r="AB113" s="16817"/>
      <c r="AC113" s="16815" t="str">
        <f>INDEX(PT_DIFFERENTIATION_CS,MATCH(C113,PT_DIFFERENTIATION_CS_ID,0))</f>
        <v>с. Глубинное </v>
      </c>
      <c r="AD113" s="16816"/>
      <c r="AE113" s="16816"/>
      <c r="AF113" s="16816"/>
      <c r="AG113" s="16816"/>
      <c r="AH113" s="16816"/>
      <c r="AI113" s="16816"/>
      <c r="AJ113" s="16815"/>
      <c r="AK113" s="16816"/>
      <c r="AL113" s="16816"/>
      <c r="AM113" s="16816"/>
      <c r="AN113" s="16816"/>
      <c r="AO113" s="16816"/>
      <c r="AP113" s="16817"/>
      <c r="AQ113" s="16815"/>
      <c r="AR113" s="16816"/>
      <c r="AS113" s="16816"/>
      <c r="AT113" s="16816"/>
      <c r="AU113" s="16816"/>
      <c r="AV113" s="16816"/>
      <c r="AW113" s="16817"/>
      <c r="AX113" s="16815"/>
      <c r="AY113" s="16816"/>
      <c r="AZ113" s="16816"/>
      <c r="BA113" s="16816"/>
      <c r="BB113" s="16816"/>
      <c r="BC113" s="16816"/>
      <c r="BD113" s="16817"/>
      <c r="BE113" s="16815"/>
      <c r="BF113" s="16816"/>
      <c r="BG113" s="16816"/>
      <c r="BH113" s="16816"/>
      <c r="BI113" s="16816"/>
      <c r="BJ113" s="16816"/>
      <c r="BK113" s="16817"/>
      <c r="BL113" s="16817"/>
      <c r="BM113" s="16818" t="s">
        <v>593</v>
      </c>
      <c r="BN113" s="16819"/>
      <c r="BO113" s="16820"/>
      <c r="BP113" s="16820" t="str">
        <f>IF(T113="","",T113)</f>
        <v>Наименование централизованной системы холодного водоснабжения</v>
      </c>
      <c r="BQ113" s="16820"/>
      <c r="BR113" s="16820"/>
      <c r="BS113" s="16821">
        <v>0</v>
      </c>
    </row>
    <row s="24221" customFormat="1" customHeight="1" ht="23.25">
      <c r="A114" s="16804"/>
      <c r="B114" s="16804"/>
      <c r="C114" s="16804"/>
      <c r="D114" s="16804"/>
      <c r="E114" s="16805"/>
      <c r="F114" s="16805" t="s">
        <v>90</v>
      </c>
      <c r="G114" s="16805"/>
      <c r="H114" s="16805"/>
      <c r="I114" s="16823" t="str">
        <f>S113&amp;".1"</f>
        <v>1.4.1.1</v>
      </c>
      <c r="J114" s="16804"/>
      <c r="K114" s="16804"/>
      <c r="L114" s="16807"/>
      <c r="M114" s="16824"/>
      <c r="N114" s="16824"/>
      <c r="O114" s="16824"/>
      <c r="P114" s="16825">
        <v>1</v>
      </c>
      <c r="Q114" s="16825"/>
      <c r="R114" s="16826"/>
      <c r="S114" s="16812" t="str">
        <f>$I114</f>
        <v>1.4.1.1</v>
      </c>
      <c r="T114" s="16827" t="s">
        <v>594</v>
      </c>
      <c r="U114" s="16814"/>
      <c r="V114" s="16828"/>
      <c r="W114" s="16829"/>
      <c r="X114" s="16829"/>
      <c r="Y114" s="16829"/>
      <c r="Z114" s="16829"/>
      <c r="AA114" s="16829"/>
      <c r="AB114" s="16830"/>
      <c r="AC114" s="16831"/>
      <c r="AD114" s="16832"/>
      <c r="AE114" s="16832"/>
      <c r="AF114" s="16832"/>
      <c r="AG114" s="16832"/>
      <c r="AH114" s="16832"/>
      <c r="AI114" s="16832"/>
      <c r="AJ114" s="16828"/>
      <c r="AK114" s="16829"/>
      <c r="AL114" s="16829"/>
      <c r="AM114" s="16829"/>
      <c r="AN114" s="16829"/>
      <c r="AO114" s="16829"/>
      <c r="AP114" s="16830"/>
      <c r="AQ114" s="16828"/>
      <c r="AR114" s="16829"/>
      <c r="AS114" s="16829"/>
      <c r="AT114" s="16829"/>
      <c r="AU114" s="16829"/>
      <c r="AV114" s="16829"/>
      <c r="AW114" s="16830"/>
      <c r="AX114" s="16828"/>
      <c r="AY114" s="16829"/>
      <c r="AZ114" s="16829"/>
      <c r="BA114" s="16829"/>
      <c r="BB114" s="16829"/>
      <c r="BC114" s="16829"/>
      <c r="BD114" s="16830"/>
      <c r="BE114" s="16828"/>
      <c r="BF114" s="16829"/>
      <c r="BG114" s="16829"/>
      <c r="BH114" s="16829"/>
      <c r="BI114" s="16829"/>
      <c r="BJ114" s="16829"/>
      <c r="BK114" s="16830"/>
      <c r="BL114" s="16833"/>
      <c r="BM114" s="16818" t="s">
        <v>595</v>
      </c>
      <c r="BN114" s="16819"/>
      <c r="BO114" s="16820"/>
      <c r="BP114" s="16820" t="str">
        <f>IF(T114="","",T114)</f>
        <v>Наименование признака дифференциации</v>
      </c>
      <c r="BQ114" s="16820"/>
      <c r="BR114" s="16820"/>
      <c r="BS114" s="16821">
        <v>0</v>
      </c>
    </row>
    <row s="24222" customFormat="1" customHeight="1" ht="23.25">
      <c r="A115" s="16804"/>
      <c r="B115" s="16804"/>
      <c r="C115" s="16804"/>
      <c r="D115" s="16804"/>
      <c r="E115" s="16805"/>
      <c r="F115" s="16805" t="s">
        <v>90</v>
      </c>
      <c r="G115" s="16805"/>
      <c r="H115" s="16805"/>
      <c r="I115" s="16835"/>
      <c r="J115" s="16823" t="str">
        <f>I114&amp;".1"</f>
        <v>1.4.1.1.1</v>
      </c>
      <c r="K115" s="16804"/>
      <c r="L115" s="16807" t="s">
        <v>520</v>
      </c>
      <c r="M115" s="16824"/>
      <c r="N115" s="16824"/>
      <c r="O115" s="16824"/>
      <c r="P115" s="16825"/>
      <c r="Q115" s="16825">
        <v>1</v>
      </c>
      <c r="R115" s="16836"/>
      <c r="S115" s="16812" t="str">
        <f>$J115</f>
        <v>1.4.1.1.1</v>
      </c>
      <c r="T115" s="16837" t="s">
        <v>521</v>
      </c>
      <c r="U115" s="16814"/>
      <c r="V115" s="16838"/>
      <c r="W115" s="16839"/>
      <c r="X115" s="16839"/>
      <c r="Y115" s="16839"/>
      <c r="Z115" s="16839"/>
      <c r="AA115" s="16839"/>
      <c r="AB115" s="16840"/>
      <c r="AC115" s="16838" t="s">
        <v>607</v>
      </c>
      <c r="AD115" s="16839"/>
      <c r="AE115" s="16839"/>
      <c r="AF115" s="16839"/>
      <c r="AG115" s="16839"/>
      <c r="AH115" s="16839"/>
      <c r="AI115" s="16839"/>
      <c r="AJ115" s="16838"/>
      <c r="AK115" s="16839"/>
      <c r="AL115" s="16839"/>
      <c r="AM115" s="16839"/>
      <c r="AN115" s="16839"/>
      <c r="AO115" s="16839"/>
      <c r="AP115" s="16840"/>
      <c r="AQ115" s="16838"/>
      <c r="AR115" s="16839"/>
      <c r="AS115" s="16839"/>
      <c r="AT115" s="16839"/>
      <c r="AU115" s="16839"/>
      <c r="AV115" s="16839"/>
      <c r="AW115" s="16840"/>
      <c r="AX115" s="16838"/>
      <c r="AY115" s="16839"/>
      <c r="AZ115" s="16839"/>
      <c r="BA115" s="16839"/>
      <c r="BB115" s="16839"/>
      <c r="BC115" s="16839"/>
      <c r="BD115" s="16840"/>
      <c r="BE115" s="16838"/>
      <c r="BF115" s="16839"/>
      <c r="BG115" s="16839"/>
      <c r="BH115" s="16839"/>
      <c r="BI115" s="16839"/>
      <c r="BJ115" s="16839"/>
      <c r="BK115" s="16840"/>
      <c r="BL115" s="16840"/>
      <c r="BM115" s="16841" t="s">
        <v>596</v>
      </c>
      <c r="BN115" s="16819"/>
      <c r="BO115" s="16820"/>
      <c r="BP115" s="16820" t="str">
        <f>IF(T115="","",T115)</f>
        <v>Группа потребителей</v>
      </c>
      <c r="BQ115" s="16820"/>
      <c r="BR115" s="16820"/>
      <c r="BS115" s="16821">
        <v>0</v>
      </c>
    </row>
    <row s="24223" customFormat="1" customHeight="1" ht="23.25">
      <c r="A116" s="16804"/>
      <c r="B116" s="16804"/>
      <c r="C116" s="16804"/>
      <c r="D116" s="16804"/>
      <c r="E116" s="16805"/>
      <c r="F116" s="16805" t="s">
        <v>90</v>
      </c>
      <c r="G116" s="16805"/>
      <c r="H116" s="16805"/>
      <c r="I116" s="16835"/>
      <c r="J116" s="16835"/>
      <c r="K116" s="16823" t="str">
        <f>J115&amp;".1"</f>
        <v>1.4.1.1.1.1</v>
      </c>
      <c r="L116" s="16807"/>
      <c r="M116" s="16824"/>
      <c r="N116" s="16824"/>
      <c r="O116" s="16824"/>
      <c r="P116" s="16825"/>
      <c r="Q116" s="16825"/>
      <c r="R116" s="16836">
        <v>1</v>
      </c>
      <c r="S116" s="16812" t="str">
        <f>$K116</f>
        <v>1.4.1.1.1.1</v>
      </c>
      <c r="T116" s="16843" t="s">
        <v>590</v>
      </c>
      <c r="U116" s="16814"/>
      <c r="V116" s="16708"/>
      <c r="W116" s="16708"/>
      <c r="X116" s="16709"/>
      <c r="Y116" s="16710"/>
      <c r="Z116" s="16711" t="s">
        <v>66</v>
      </c>
      <c r="AA116" s="16710"/>
      <c r="AB116" s="16711" t="s">
        <v>66</v>
      </c>
      <c r="AC116" s="16844">
        <v>85.09</v>
      </c>
      <c r="AD116" s="16844"/>
      <c r="AE116" s="16845"/>
      <c r="AF116" s="16846">
        <v>45658.48743055556</v>
      </c>
      <c r="AG116" s="16847" t="s">
        <v>66</v>
      </c>
      <c r="AH116" s="16712">
        <v>46022.48753472222</v>
      </c>
      <c r="AI116" s="16847" t="s">
        <v>66</v>
      </c>
      <c r="AJ116" s="16844">
        <v>84.21</v>
      </c>
      <c r="AK116" s="16844"/>
      <c r="AL116" s="16845"/>
      <c r="AM116" s="16846">
        <v>46023.494409722225</v>
      </c>
      <c r="AN116" s="16847" t="s">
        <v>66</v>
      </c>
      <c r="AO116" s="16846">
        <v>46387.494525462964</v>
      </c>
      <c r="AP116" s="16847" t="s">
        <v>66</v>
      </c>
      <c r="AQ116" s="16844">
        <v>86.7</v>
      </c>
      <c r="AR116" s="16844"/>
      <c r="AS116" s="16845"/>
      <c r="AT116" s="16846">
        <v>46388.50303240741</v>
      </c>
      <c r="AU116" s="16847" t="s">
        <v>66</v>
      </c>
      <c r="AV116" s="16846">
        <v>46752.503125</v>
      </c>
      <c r="AW116" s="16847" t="s">
        <v>66</v>
      </c>
      <c r="AX116" s="16844">
        <v>89.26</v>
      </c>
      <c r="AY116" s="16844"/>
      <c r="AZ116" s="16845"/>
      <c r="BA116" s="16846">
        <v>46753.50372685185</v>
      </c>
      <c r="BB116" s="16847" t="s">
        <v>66</v>
      </c>
      <c r="BC116" s="16846">
        <v>47118.50383101852</v>
      </c>
      <c r="BD116" s="16847" t="s">
        <v>19</v>
      </c>
      <c r="BE116" s="16708"/>
      <c r="BF116" s="16708"/>
      <c r="BG116" s="16709"/>
      <c r="BH116" s="16710"/>
      <c r="BI116" s="16711" t="s">
        <v>66</v>
      </c>
      <c r="BJ116" s="16710"/>
      <c r="BK116" s="16711" t="s">
        <v>66</v>
      </c>
      <c r="BL116" s="16848"/>
      <c r="BM11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16" s="16819">
        <f>STRCHECKDATE(V117:BL117)</f>
      </c>
      <c r="BO116" s="16820"/>
      <c r="BP116" s="16820" t="str">
        <f>IF(T116="","",T116)</f>
        <v>без НДС</v>
      </c>
      <c r="BQ116" s="16820"/>
      <c r="BR116" s="16820"/>
      <c r="BS116" s="16821">
        <v>0</v>
      </c>
    </row>
    <row s="24224" customFormat="1" customHeight="1" ht="14.25">
      <c r="A117" s="16804"/>
      <c r="B117" s="16804"/>
      <c r="C117" s="16804"/>
      <c r="D117" s="16804"/>
      <c r="E117" s="16805"/>
      <c r="F117" s="16805" t="s">
        <v>90</v>
      </c>
      <c r="G117" s="16805"/>
      <c r="H117" s="16805"/>
      <c r="I117" s="16835"/>
      <c r="J117" s="16835"/>
      <c r="K117" s="16823"/>
      <c r="L117" s="16807"/>
      <c r="M117" s="16824"/>
      <c r="N117" s="16824"/>
      <c r="O117" s="16824"/>
      <c r="P117" s="16825"/>
      <c r="Q117" s="16825"/>
      <c r="R117" s="16836"/>
      <c r="S117" s="16851"/>
      <c r="T117" s="16814"/>
      <c r="U117" s="16814"/>
      <c r="V117" s="16708"/>
      <c r="W117" s="16708"/>
      <c r="X117" s="16716" t="str">
        <f>Y116&amp;"-"&amp;AA116</f>
        <v>-</v>
      </c>
      <c r="Y117" s="16711"/>
      <c r="Z117" s="16711"/>
      <c r="AA117" s="16711"/>
      <c r="AB117" s="16711"/>
      <c r="AC117" s="16852"/>
      <c r="AD117" s="16852"/>
      <c r="AE117" s="16716" t="str">
        <f>AF116&amp;"-"&amp;AH116</f>
        <v>45658.48743055556-46022.48753472222</v>
      </c>
      <c r="AF117" s="16853"/>
      <c r="AG117" s="16847"/>
      <c r="AH117" s="16854"/>
      <c r="AI117" s="16847"/>
      <c r="AJ117" s="16852"/>
      <c r="AK117" s="16852"/>
      <c r="AL117" s="16716" t="str">
        <f>AM116&amp;"-"&amp;AO116</f>
        <v>46023.494409722225-46387.494525462964</v>
      </c>
      <c r="AM117" s="16853"/>
      <c r="AN117" s="16847"/>
      <c r="AO117" s="16853"/>
      <c r="AP117" s="16847"/>
      <c r="AQ117" s="16852"/>
      <c r="AR117" s="16852"/>
      <c r="AS117" s="16716" t="str">
        <f>AT116&amp;"-"&amp;AV116</f>
        <v>46388.50303240741-46752.503125</v>
      </c>
      <c r="AT117" s="16853"/>
      <c r="AU117" s="16847"/>
      <c r="AV117" s="16853"/>
      <c r="AW117" s="16847"/>
      <c r="AX117" s="16852"/>
      <c r="AY117" s="16852"/>
      <c r="AZ117" s="16716" t="str">
        <f>BA116&amp;"-"&amp;BC116</f>
        <v>46753.50372685185-47118.50383101852</v>
      </c>
      <c r="BA117" s="16853"/>
      <c r="BB117" s="16847"/>
      <c r="BC117" s="16853"/>
      <c r="BD117" s="16847"/>
      <c r="BE117" s="16708"/>
      <c r="BF117" s="16708"/>
      <c r="BG117" s="16716" t="str">
        <f>BH116&amp;"-"&amp;BJ116</f>
        <v>-</v>
      </c>
      <c r="BH117" s="16711"/>
      <c r="BI117" s="16711"/>
      <c r="BJ117" s="16711"/>
      <c r="BK117" s="16711"/>
      <c r="BL117" s="16855"/>
      <c r="BM117" s="16849"/>
      <c r="BN117" s="16819"/>
      <c r="BO117" s="16820"/>
      <c r="BP117" s="16820" t="str">
        <f>IF(T117="","",T117)</f>
        <v/>
      </c>
      <c r="BQ117" s="16820"/>
      <c r="BR117" s="16820"/>
      <c r="BS117" s="16821">
        <v>0</v>
      </c>
    </row>
    <row s="24225" customFormat="1" customHeight="1" ht="21">
      <c r="A118" s="16804"/>
      <c r="B118" s="16804"/>
      <c r="C118" s="16804"/>
      <c r="D118" s="16804"/>
      <c r="E118" s="16805"/>
      <c r="F118" s="16805" t="s">
        <v>90</v>
      </c>
      <c r="G118" s="16805"/>
      <c r="H118" s="16805"/>
      <c r="I118" s="16835"/>
      <c r="J118" s="16823"/>
      <c r="K118" s="16804"/>
      <c r="L118" s="16807"/>
      <c r="M118" s="16824"/>
      <c r="N118" s="16824"/>
      <c r="O118" s="16824"/>
      <c r="P118" s="16825"/>
      <c r="Q118" s="16825"/>
      <c r="R118" s="16826"/>
      <c r="S118" s="17959"/>
      <c r="T118" s="17960" t="s">
        <v>597</v>
      </c>
      <c r="U118" s="17961"/>
      <c r="V118" s="17962"/>
      <c r="W118" s="17963"/>
      <c r="X118" s="17964"/>
      <c r="Y118" s="17965"/>
      <c r="Z118" s="17966"/>
      <c r="AA118" s="17967"/>
      <c r="AB118" s="17968"/>
      <c r="AC118" s="17969"/>
      <c r="AD118" s="17970"/>
      <c r="AE118" s="17971"/>
      <c r="AF118" s="17972"/>
      <c r="AG118" s="17973"/>
      <c r="AH118" s="17974"/>
      <c r="AI118" s="17975"/>
      <c r="AJ118" s="17976"/>
      <c r="AK118" s="17977"/>
      <c r="AL118" s="17978"/>
      <c r="AM118" s="17979"/>
      <c r="AN118" s="17980"/>
      <c r="AO118" s="17981"/>
      <c r="AP118" s="17982"/>
      <c r="AQ118" s="17983"/>
      <c r="AR118" s="17984"/>
      <c r="AS118" s="17985"/>
      <c r="AT118" s="17986"/>
      <c r="AU118" s="17987"/>
      <c r="AV118" s="17988"/>
      <c r="AW118" s="17989"/>
      <c r="AX118" s="17990"/>
      <c r="AY118" s="17991"/>
      <c r="AZ118" s="17992"/>
      <c r="BA118" s="17993"/>
      <c r="BB118" s="17994"/>
      <c r="BC118" s="17995"/>
      <c r="BD118" s="17996"/>
      <c r="BE118" s="17997"/>
      <c r="BF118" s="17998"/>
      <c r="BG118" s="17999"/>
      <c r="BH118" s="18000"/>
      <c r="BI118" s="18001"/>
      <c r="BJ118" s="18002"/>
      <c r="BK118" s="18003"/>
      <c r="BL118" s="18004"/>
      <c r="BM118" s="16818" t="s">
        <v>598</v>
      </c>
      <c r="BN118" s="16819"/>
      <c r="BO118" s="16820"/>
      <c r="BP118" s="16820" t="str">
        <f>IF(T118="","",T118)</f>
        <v>Добавить значение признака дифференциации</v>
      </c>
      <c r="BQ118" s="16820"/>
      <c r="BR118" s="16820"/>
      <c r="BS118" s="16821">
        <v>0</v>
      </c>
    </row>
    <row s="24272" customFormat="1" customHeight="1" ht="21">
      <c r="A119" s="16804"/>
      <c r="B119" s="16804"/>
      <c r="C119" s="16804"/>
      <c r="D119" s="16804"/>
      <c r="E119" s="16805"/>
      <c r="F119" s="16805" t="s">
        <v>90</v>
      </c>
      <c r="G119" s="16805"/>
      <c r="H119" s="16805"/>
      <c r="I119" s="16823"/>
      <c r="J119" s="16804"/>
      <c r="K119" s="16804"/>
      <c r="L119" s="16807"/>
      <c r="M119" s="16824"/>
      <c r="N119" s="16824"/>
      <c r="O119" s="16824"/>
      <c r="P119" s="16825"/>
      <c r="Q119" s="16825"/>
      <c r="R119" s="16826"/>
      <c r="S119" s="18006"/>
      <c r="T119" s="18007" t="s">
        <v>526</v>
      </c>
      <c r="U119" s="18008"/>
      <c r="V119" s="18009"/>
      <c r="W119" s="18010"/>
      <c r="X119" s="18011"/>
      <c r="Y119" s="18012"/>
      <c r="Z119" s="18013"/>
      <c r="AA119" s="18014"/>
      <c r="AB119" s="18015"/>
      <c r="AC119" s="18016"/>
      <c r="AD119" s="18017"/>
      <c r="AE119" s="18018"/>
      <c r="AF119" s="18019"/>
      <c r="AG119" s="18020"/>
      <c r="AH119" s="18021"/>
      <c r="AI119" s="18022"/>
      <c r="AJ119" s="18023"/>
      <c r="AK119" s="18024"/>
      <c r="AL119" s="18025"/>
      <c r="AM119" s="18026"/>
      <c r="AN119" s="18027"/>
      <c r="AO119" s="18028"/>
      <c r="AP119" s="18029"/>
      <c r="AQ119" s="18030"/>
      <c r="AR119" s="18031"/>
      <c r="AS119" s="18032"/>
      <c r="AT119" s="18033"/>
      <c r="AU119" s="18034"/>
      <c r="AV119" s="18035"/>
      <c r="AW119" s="18036"/>
      <c r="AX119" s="18037"/>
      <c r="AY119" s="18038"/>
      <c r="AZ119" s="18039"/>
      <c r="BA119" s="18040"/>
      <c r="BB119" s="18041"/>
      <c r="BC119" s="18042"/>
      <c r="BD119" s="18043"/>
      <c r="BE119" s="18044"/>
      <c r="BF119" s="18045"/>
      <c r="BG119" s="18046"/>
      <c r="BH119" s="18047"/>
      <c r="BI119" s="18048"/>
      <c r="BJ119" s="18049"/>
      <c r="BK119" s="18050"/>
      <c r="BL119" s="18051"/>
      <c r="BM119" s="18052"/>
      <c r="BN119" s="16819"/>
      <c r="BO119" s="16820"/>
      <c r="BP119" s="16820" t="str">
        <f>IF(T119="","",T119)</f>
        <v>Добавить группу потребителей</v>
      </c>
      <c r="BQ119" s="16820"/>
      <c r="BR119" s="16820"/>
      <c r="BS119" s="16821">
        <v>0</v>
      </c>
    </row>
    <row s="24320" customFormat="1" customHeight="1" ht="14.25">
      <c r="A120" s="16804"/>
      <c r="B120" s="16804"/>
      <c r="C120" s="16804"/>
      <c r="D120" s="16804"/>
      <c r="E120" s="16805"/>
      <c r="F120" s="16805" t="s">
        <v>90</v>
      </c>
      <c r="G120" s="16805"/>
      <c r="H120" s="16806"/>
      <c r="I120" s="16804"/>
      <c r="J120" s="16804"/>
      <c r="K120" s="16804"/>
      <c r="L120" s="16807"/>
      <c r="M120" s="16808"/>
      <c r="N120" s="16808"/>
      <c r="O120" s="16952"/>
      <c r="P120" s="16953"/>
      <c r="Q120" s="16954"/>
      <c r="R120" s="16955"/>
      <c r="S120" s="18054"/>
      <c r="T120" s="18055" t="s">
        <v>599</v>
      </c>
      <c r="U120" s="18056"/>
      <c r="V120" s="18057"/>
      <c r="W120" s="18058"/>
      <c r="X120" s="18059"/>
      <c r="Y120" s="18060"/>
      <c r="Z120" s="18061"/>
      <c r="AA120" s="18062"/>
      <c r="AB120" s="18063"/>
      <c r="AC120" s="18064"/>
      <c r="AD120" s="18065"/>
      <c r="AE120" s="18066"/>
      <c r="AF120" s="18067"/>
      <c r="AG120" s="18068"/>
      <c r="AH120" s="18069"/>
      <c r="AI120" s="18070"/>
      <c r="AJ120" s="18071"/>
      <c r="AK120" s="18072"/>
      <c r="AL120" s="18073"/>
      <c r="AM120" s="18074"/>
      <c r="AN120" s="18075"/>
      <c r="AO120" s="18076"/>
      <c r="AP120" s="18077"/>
      <c r="AQ120" s="18078"/>
      <c r="AR120" s="18079"/>
      <c r="AS120" s="18080"/>
      <c r="AT120" s="18081"/>
      <c r="AU120" s="18082"/>
      <c r="AV120" s="18083"/>
      <c r="AW120" s="18084"/>
      <c r="AX120" s="18085"/>
      <c r="AY120" s="18086"/>
      <c r="AZ120" s="18087"/>
      <c r="BA120" s="18088"/>
      <c r="BB120" s="18089"/>
      <c r="BC120" s="18090"/>
      <c r="BD120" s="18091"/>
      <c r="BE120" s="18092"/>
      <c r="BF120" s="18093"/>
      <c r="BG120" s="18094"/>
      <c r="BH120" s="18095"/>
      <c r="BI120" s="18096"/>
      <c r="BJ120" s="18097"/>
      <c r="BK120" s="18098"/>
      <c r="BL120" s="18099"/>
      <c r="BM120" s="18100"/>
      <c r="BN120" s="16819"/>
      <c r="BO120" s="16820"/>
      <c r="BP120" s="16820" t="str">
        <f>IF(T120="","",T120)</f>
        <v>Добавить наименование признака дифференциации</v>
      </c>
      <c r="BQ120" s="16820"/>
      <c r="BR120" s="16820"/>
      <c r="BS120" s="16821">
        <v>0</v>
      </c>
    </row>
    <row s="24368" customFormat="1" customHeight="1" ht="14.25">
      <c r="A121" s="17944"/>
      <c r="B121" s="17944"/>
      <c r="C121" s="17944"/>
      <c r="D121" s="17944"/>
      <c r="E121" s="16805"/>
      <c r="F121" s="16806" t="s">
        <v>90</v>
      </c>
      <c r="G121" s="17944"/>
      <c r="H121" s="17944"/>
      <c r="I121" s="17944"/>
      <c r="J121" s="17944"/>
      <c r="K121" s="17944"/>
      <c r="L121" s="17945"/>
      <c r="M121" s="17946"/>
      <c r="N121" s="17946"/>
      <c r="O121" s="16819"/>
      <c r="P121" s="17947"/>
      <c r="Q121" s="17948"/>
      <c r="R121" s="17947"/>
      <c r="S121" s="17949"/>
      <c r="T121" s="17950" t="s">
        <v>280</v>
      </c>
      <c r="U121" s="17951"/>
      <c r="V121" s="17951"/>
      <c r="W121" s="17951"/>
      <c r="X121" s="17951"/>
      <c r="Y121" s="17951"/>
      <c r="Z121" s="17951"/>
      <c r="AA121" s="17951"/>
      <c r="AB121" s="17951"/>
      <c r="AC121" s="17951"/>
      <c r="AD121" s="17951"/>
      <c r="AE121" s="17951"/>
      <c r="AF121" s="17951"/>
      <c r="AG121" s="17951"/>
      <c r="AH121" s="17951"/>
      <c r="AI121" s="17951"/>
      <c r="AJ121" s="17951"/>
      <c r="AK121" s="17951"/>
      <c r="AL121" s="17951"/>
      <c r="AM121" s="17951"/>
      <c r="AN121" s="17951"/>
      <c r="AO121" s="17951"/>
      <c r="AP121" s="17951"/>
      <c r="AQ121" s="17951"/>
      <c r="AR121" s="17951"/>
      <c r="AS121" s="17951"/>
      <c r="AT121" s="17951"/>
      <c r="AU121" s="17951"/>
      <c r="AV121" s="17951"/>
      <c r="AW121" s="17951"/>
      <c r="AX121" s="17951"/>
      <c r="AY121" s="17951"/>
      <c r="AZ121" s="17951"/>
      <c r="BA121" s="17951"/>
      <c r="BB121" s="17951"/>
      <c r="BC121" s="17951"/>
      <c r="BD121" s="17951"/>
      <c r="BE121" s="17951"/>
      <c r="BF121" s="17951"/>
      <c r="BG121" s="17951"/>
      <c r="BH121" s="17951"/>
      <c r="BI121" s="17951"/>
      <c r="BJ121" s="17951"/>
      <c r="BK121" s="17951"/>
      <c r="BL121" s="17951"/>
      <c r="BM121" s="17951"/>
      <c r="BN121" s="16819"/>
      <c r="BO121" s="16820"/>
      <c r="BP121" s="16820" t="str">
        <f>IF(T121="","",T121)</f>
        <v>Добавить централизованную систему для дифференциации</v>
      </c>
      <c r="BQ121" s="16820"/>
      <c r="BR121" s="16820"/>
      <c r="BS121" s="16819">
        <v>0</v>
      </c>
    </row>
    <row s="24369" customFormat="1" customHeight="1" ht="23.25">
      <c r="A122" s="16804"/>
      <c r="B122" s="16804" t="s">
        <v>297</v>
      </c>
      <c r="C122" s="16804"/>
      <c r="D122" s="16804"/>
      <c r="E122" s="16805"/>
      <c r="F122" s="16806" t="s">
        <v>116</v>
      </c>
      <c r="G122" s="16804"/>
      <c r="H122" s="16804"/>
      <c r="I122" s="16804"/>
      <c r="J122" s="16804"/>
      <c r="K122" s="16804"/>
      <c r="L122" s="16807"/>
      <c r="M122" s="16808"/>
      <c r="N122" s="16808"/>
      <c r="O122" s="16808"/>
      <c r="P122" s="17793"/>
      <c r="Q122" s="16810"/>
      <c r="R122" s="16811"/>
      <c r="S122" s="16812" t="str">
        <f>INDEX(PT_DIFFERENTIATION_NUM_TER,MATCH(B122,PT_DIFFERENTIATION_TER_ID,0))</f>
        <v>1.5</v>
      </c>
      <c r="T122" s="17794" t="s">
        <v>511</v>
      </c>
      <c r="U122" s="16814"/>
      <c r="V122" s="16815"/>
      <c r="W122" s="16816"/>
      <c r="X122" s="16816"/>
      <c r="Y122" s="16816"/>
      <c r="Z122" s="16816"/>
      <c r="AA122" s="16816"/>
      <c r="AB122" s="16817"/>
      <c r="AC122" s="16815" t="str">
        <f>INDEX(PT_DIFFERENTIATION_TER,MATCH(B122,PT_DIFFERENTIATION_TER_ID,0))</f>
        <v>Территория 5</v>
      </c>
      <c r="AD122" s="16816"/>
      <c r="AE122" s="16816"/>
      <c r="AF122" s="16816"/>
      <c r="AG122" s="16816"/>
      <c r="AH122" s="16816"/>
      <c r="AI122" s="16816"/>
      <c r="AJ122" s="16815"/>
      <c r="AK122" s="16816"/>
      <c r="AL122" s="16816"/>
      <c r="AM122" s="16816"/>
      <c r="AN122" s="16816"/>
      <c r="AO122" s="16816"/>
      <c r="AP122" s="16817"/>
      <c r="AQ122" s="16815"/>
      <c r="AR122" s="16816"/>
      <c r="AS122" s="16816"/>
      <c r="AT122" s="16816"/>
      <c r="AU122" s="16816"/>
      <c r="AV122" s="16816"/>
      <c r="AW122" s="16817"/>
      <c r="AX122" s="16815"/>
      <c r="AY122" s="16816"/>
      <c r="AZ122" s="16816"/>
      <c r="BA122" s="16816"/>
      <c r="BB122" s="16816"/>
      <c r="BC122" s="16816"/>
      <c r="BD122" s="16817"/>
      <c r="BE122" s="16815"/>
      <c r="BF122" s="16816"/>
      <c r="BG122" s="16816"/>
      <c r="BH122" s="16816"/>
      <c r="BI122" s="16816"/>
      <c r="BJ122" s="16816"/>
      <c r="BK122" s="16817"/>
      <c r="BL122" s="16817"/>
      <c r="BM122" s="16818" t="s">
        <v>512</v>
      </c>
      <c r="BN122" s="16819"/>
      <c r="BO122" s="16820"/>
      <c r="BP122" s="16820" t="str">
        <f>IF(T122="","",T122)</f>
        <v>Территория действия тарифа</v>
      </c>
      <c r="BQ122" s="16820"/>
      <c r="BR122" s="16820"/>
      <c r="BS122" s="16821">
        <v>0</v>
      </c>
    </row>
    <row s="24370" customFormat="1" customHeight="1" ht="23.25">
      <c r="A123" s="16804"/>
      <c r="B123" s="16804"/>
      <c r="C123" s="16804" t="s">
        <v>298</v>
      </c>
      <c r="D123" s="16804"/>
      <c r="E123" s="16805"/>
      <c r="F123" s="16805" t="s">
        <v>91</v>
      </c>
      <c r="G123" s="16806">
        <v>1</v>
      </c>
      <c r="H123" s="16804"/>
      <c r="I123" s="16804"/>
      <c r="J123" s="16804"/>
      <c r="K123" s="16804"/>
      <c r="L123" s="16807"/>
      <c r="M123" s="16808"/>
      <c r="N123" s="16808"/>
      <c r="O123" s="16808"/>
      <c r="P123" s="16809"/>
      <c r="Q123" s="16810"/>
      <c r="R123" s="16811"/>
      <c r="S123" s="16812" t="str">
        <f>INDEX(PT_DIFFERENTIATION_NUM_CS,MATCH(C123,PT_DIFFERENTIATION_CS_ID,0))</f>
        <v>1.5.1</v>
      </c>
      <c r="T123" s="16813" t="s">
        <v>592</v>
      </c>
      <c r="U123" s="16814"/>
      <c r="V123" s="16815"/>
      <c r="W123" s="16816"/>
      <c r="X123" s="16816"/>
      <c r="Y123" s="16816"/>
      <c r="Z123" s="16816"/>
      <c r="AA123" s="16816"/>
      <c r="AB123" s="16817"/>
      <c r="AC123" s="16815" t="str">
        <f>INDEX(PT_DIFFERENTIATION_CS,MATCH(C123,PT_DIFFERENTIATION_CS_ID,0))</f>
        <v>Кавалеровский МО</v>
      </c>
      <c r="AD123" s="16816"/>
      <c r="AE123" s="16816"/>
      <c r="AF123" s="16816"/>
      <c r="AG123" s="16816"/>
      <c r="AH123" s="16816"/>
      <c r="AI123" s="16816"/>
      <c r="AJ123" s="16815"/>
      <c r="AK123" s="16816"/>
      <c r="AL123" s="16816"/>
      <c r="AM123" s="16816"/>
      <c r="AN123" s="16816"/>
      <c r="AO123" s="16816"/>
      <c r="AP123" s="16817"/>
      <c r="AQ123" s="16815"/>
      <c r="AR123" s="16816"/>
      <c r="AS123" s="16816"/>
      <c r="AT123" s="16816"/>
      <c r="AU123" s="16816"/>
      <c r="AV123" s="16816"/>
      <c r="AW123" s="16817"/>
      <c r="AX123" s="16815"/>
      <c r="AY123" s="16816"/>
      <c r="AZ123" s="16816"/>
      <c r="BA123" s="16816"/>
      <c r="BB123" s="16816"/>
      <c r="BC123" s="16816"/>
      <c r="BD123" s="16817"/>
      <c r="BE123" s="16815"/>
      <c r="BF123" s="16816"/>
      <c r="BG123" s="16816"/>
      <c r="BH123" s="16816"/>
      <c r="BI123" s="16816"/>
      <c r="BJ123" s="16816"/>
      <c r="BK123" s="16817"/>
      <c r="BL123" s="16817"/>
      <c r="BM123" s="16818" t="s">
        <v>593</v>
      </c>
      <c r="BN123" s="16819"/>
      <c r="BO123" s="16820"/>
      <c r="BP123" s="16820" t="str">
        <f>IF(T123="","",T123)</f>
        <v>Наименование централизованной системы холодного водоснабжения</v>
      </c>
      <c r="BQ123" s="16820"/>
      <c r="BR123" s="16820"/>
      <c r="BS123" s="16821">
        <v>0</v>
      </c>
    </row>
    <row s="24371" customFormat="1" customHeight="1" ht="23.25">
      <c r="A124" s="16804"/>
      <c r="B124" s="16804"/>
      <c r="C124" s="16804"/>
      <c r="D124" s="16804"/>
      <c r="E124" s="16805"/>
      <c r="F124" s="16805" t="s">
        <v>91</v>
      </c>
      <c r="G124" s="16805"/>
      <c r="H124" s="16805"/>
      <c r="I124" s="16823" t="str">
        <f>S123&amp;".1"</f>
        <v>1.5.1.1</v>
      </c>
      <c r="J124" s="16804"/>
      <c r="K124" s="16804"/>
      <c r="L124" s="16807"/>
      <c r="M124" s="16824"/>
      <c r="N124" s="16824"/>
      <c r="O124" s="16824"/>
      <c r="P124" s="16825">
        <v>1</v>
      </c>
      <c r="Q124" s="16825"/>
      <c r="R124" s="16826"/>
      <c r="S124" s="16812" t="str">
        <f>$I124</f>
        <v>1.5.1.1</v>
      </c>
      <c r="T124" s="16827" t="s">
        <v>594</v>
      </c>
      <c r="U124" s="16814"/>
      <c r="V124" s="16828"/>
      <c r="W124" s="16829"/>
      <c r="X124" s="16829"/>
      <c r="Y124" s="16829"/>
      <c r="Z124" s="16829"/>
      <c r="AA124" s="16829"/>
      <c r="AB124" s="16830"/>
      <c r="AC124" s="16831"/>
      <c r="AD124" s="16832"/>
      <c r="AE124" s="16832"/>
      <c r="AF124" s="16832"/>
      <c r="AG124" s="16832"/>
      <c r="AH124" s="16832"/>
      <c r="AI124" s="16832"/>
      <c r="AJ124" s="16828"/>
      <c r="AK124" s="16829"/>
      <c r="AL124" s="16829"/>
      <c r="AM124" s="16829"/>
      <c r="AN124" s="16829"/>
      <c r="AO124" s="16829"/>
      <c r="AP124" s="16830"/>
      <c r="AQ124" s="16828"/>
      <c r="AR124" s="16829"/>
      <c r="AS124" s="16829"/>
      <c r="AT124" s="16829"/>
      <c r="AU124" s="16829"/>
      <c r="AV124" s="16829"/>
      <c r="AW124" s="16830"/>
      <c r="AX124" s="16828"/>
      <c r="AY124" s="16829"/>
      <c r="AZ124" s="16829"/>
      <c r="BA124" s="16829"/>
      <c r="BB124" s="16829"/>
      <c r="BC124" s="16829"/>
      <c r="BD124" s="16830"/>
      <c r="BE124" s="16828"/>
      <c r="BF124" s="16829"/>
      <c r="BG124" s="16829"/>
      <c r="BH124" s="16829"/>
      <c r="BI124" s="16829"/>
      <c r="BJ124" s="16829"/>
      <c r="BK124" s="16830"/>
      <c r="BL124" s="16833"/>
      <c r="BM124" s="16818" t="s">
        <v>595</v>
      </c>
      <c r="BN124" s="16819"/>
      <c r="BO124" s="16820"/>
      <c r="BP124" s="16820" t="str">
        <f>IF(T124="","",T124)</f>
        <v>Наименование признака дифференциации</v>
      </c>
      <c r="BQ124" s="16820"/>
      <c r="BR124" s="16820"/>
      <c r="BS124" s="16821">
        <v>0</v>
      </c>
    </row>
    <row s="24372" customFormat="1" customHeight="1" ht="23.25">
      <c r="A125" s="16804"/>
      <c r="B125" s="16804"/>
      <c r="C125" s="16804"/>
      <c r="D125" s="16804"/>
      <c r="E125" s="16805"/>
      <c r="F125" s="16805" t="s">
        <v>91</v>
      </c>
      <c r="G125" s="16805"/>
      <c r="H125" s="16805"/>
      <c r="I125" s="16835"/>
      <c r="J125" s="16823" t="str">
        <f>I124&amp;".1"</f>
        <v>1.5.1.1.1</v>
      </c>
      <c r="K125" s="16804"/>
      <c r="L125" s="16807" t="s">
        <v>520</v>
      </c>
      <c r="M125" s="16824"/>
      <c r="N125" s="16824"/>
      <c r="O125" s="16824"/>
      <c r="P125" s="16825"/>
      <c r="Q125" s="16825">
        <v>1</v>
      </c>
      <c r="R125" s="16836"/>
      <c r="S125" s="16812" t="str">
        <f>$J125</f>
        <v>1.5.1.1.1</v>
      </c>
      <c r="T125" s="16837" t="s">
        <v>521</v>
      </c>
      <c r="U125" s="16814"/>
      <c r="V125" s="16838"/>
      <c r="W125" s="16839"/>
      <c r="X125" s="16839"/>
      <c r="Y125" s="16839"/>
      <c r="Z125" s="16839"/>
      <c r="AA125" s="16839"/>
      <c r="AB125" s="16840"/>
      <c r="AC125" s="16838" t="s">
        <v>607</v>
      </c>
      <c r="AD125" s="16839"/>
      <c r="AE125" s="16839"/>
      <c r="AF125" s="16839"/>
      <c r="AG125" s="16839"/>
      <c r="AH125" s="16839"/>
      <c r="AI125" s="16839"/>
      <c r="AJ125" s="16838"/>
      <c r="AK125" s="16839"/>
      <c r="AL125" s="16839"/>
      <c r="AM125" s="16839"/>
      <c r="AN125" s="16839"/>
      <c r="AO125" s="16839"/>
      <c r="AP125" s="16840"/>
      <c r="AQ125" s="16838"/>
      <c r="AR125" s="16839"/>
      <c r="AS125" s="16839"/>
      <c r="AT125" s="16839"/>
      <c r="AU125" s="16839"/>
      <c r="AV125" s="16839"/>
      <c r="AW125" s="16840"/>
      <c r="AX125" s="16838"/>
      <c r="AY125" s="16839"/>
      <c r="AZ125" s="16839"/>
      <c r="BA125" s="16839"/>
      <c r="BB125" s="16839"/>
      <c r="BC125" s="16839"/>
      <c r="BD125" s="16840"/>
      <c r="BE125" s="16838"/>
      <c r="BF125" s="16839"/>
      <c r="BG125" s="16839"/>
      <c r="BH125" s="16839"/>
      <c r="BI125" s="16839"/>
      <c r="BJ125" s="16839"/>
      <c r="BK125" s="16840"/>
      <c r="BL125" s="16840"/>
      <c r="BM125" s="16841" t="s">
        <v>596</v>
      </c>
      <c r="BN125" s="16819"/>
      <c r="BO125" s="16820"/>
      <c r="BP125" s="16820" t="str">
        <f>IF(T125="","",T125)</f>
        <v>Группа потребителей</v>
      </c>
      <c r="BQ125" s="16820"/>
      <c r="BR125" s="16820"/>
      <c r="BS125" s="16821">
        <v>0</v>
      </c>
    </row>
    <row s="24373" customFormat="1" customHeight="1" ht="23.25">
      <c r="A126" s="16804"/>
      <c r="B126" s="16804"/>
      <c r="C126" s="16804"/>
      <c r="D126" s="16804"/>
      <c r="E126" s="16805"/>
      <c r="F126" s="16805" t="s">
        <v>91</v>
      </c>
      <c r="G126" s="16805"/>
      <c r="H126" s="16805"/>
      <c r="I126" s="16835"/>
      <c r="J126" s="16835"/>
      <c r="K126" s="16823" t="str">
        <f>J125&amp;".1"</f>
        <v>1.5.1.1.1.1</v>
      </c>
      <c r="L126" s="16807"/>
      <c r="M126" s="16824"/>
      <c r="N126" s="16824"/>
      <c r="O126" s="16824"/>
      <c r="P126" s="16825"/>
      <c r="Q126" s="16825"/>
      <c r="R126" s="16836">
        <v>1</v>
      </c>
      <c r="S126" s="16812" t="str">
        <f>$K126</f>
        <v>1.5.1.1.1.1</v>
      </c>
      <c r="T126" s="16843" t="s">
        <v>590</v>
      </c>
      <c r="U126" s="16814"/>
      <c r="V126" s="16708"/>
      <c r="W126" s="16708"/>
      <c r="X126" s="16709"/>
      <c r="Y126" s="16710"/>
      <c r="Z126" s="16711" t="s">
        <v>66</v>
      </c>
      <c r="AA126" s="16710"/>
      <c r="AB126" s="16711" t="s">
        <v>66</v>
      </c>
      <c r="AC126" s="16844">
        <v>57.44</v>
      </c>
      <c r="AD126" s="16844"/>
      <c r="AE126" s="16845"/>
      <c r="AF126" s="16846">
        <v>45658.48769675926</v>
      </c>
      <c r="AG126" s="16847" t="s">
        <v>66</v>
      </c>
      <c r="AH126" s="16712">
        <v>46022.48780092593</v>
      </c>
      <c r="AI126" s="16847" t="s">
        <v>66</v>
      </c>
      <c r="AJ126" s="16844">
        <v>55.23</v>
      </c>
      <c r="AK126" s="16844"/>
      <c r="AL126" s="16845"/>
      <c r="AM126" s="16846">
        <v>46023.49471064815</v>
      </c>
      <c r="AN126" s="16847" t="s">
        <v>66</v>
      </c>
      <c r="AO126" s="16846">
        <v>46387.49480324074</v>
      </c>
      <c r="AP126" s="16847" t="s">
        <v>66</v>
      </c>
      <c r="AQ126" s="16844">
        <v>56.79</v>
      </c>
      <c r="AR126" s="16844"/>
      <c r="AS126" s="16845"/>
      <c r="AT126" s="16846">
        <v>46388.50400462963</v>
      </c>
      <c r="AU126" s="16847" t="s">
        <v>66</v>
      </c>
      <c r="AV126" s="16846">
        <v>47118.50412037037</v>
      </c>
      <c r="AW126" s="16847" t="s">
        <v>66</v>
      </c>
      <c r="AX126" s="16844">
        <v>58.39</v>
      </c>
      <c r="AY126" s="16844"/>
      <c r="AZ126" s="16845"/>
      <c r="BA126" s="16846">
        <v>46753.50436342593</v>
      </c>
      <c r="BB126" s="16847" t="s">
        <v>66</v>
      </c>
      <c r="BC126" s="16846">
        <v>47118.50446759259</v>
      </c>
      <c r="BD126" s="16847" t="s">
        <v>19</v>
      </c>
      <c r="BE126" s="16708"/>
      <c r="BF126" s="16708"/>
      <c r="BG126" s="16709"/>
      <c r="BH126" s="16710"/>
      <c r="BI126" s="16711" t="s">
        <v>66</v>
      </c>
      <c r="BJ126" s="16710"/>
      <c r="BK126" s="16711" t="s">
        <v>66</v>
      </c>
      <c r="BL126" s="16848"/>
      <c r="BM12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26" s="16819">
        <f>STRCHECKDATE(V127:BL127)</f>
      </c>
      <c r="BO126" s="16820"/>
      <c r="BP126" s="16820" t="str">
        <f>IF(T126="","",T126)</f>
        <v>без НДС</v>
      </c>
      <c r="BQ126" s="16820"/>
      <c r="BR126" s="16820"/>
      <c r="BS126" s="16821">
        <v>0</v>
      </c>
    </row>
    <row s="24374" customFormat="1" customHeight="1" ht="14.25">
      <c r="A127" s="16804"/>
      <c r="B127" s="16804"/>
      <c r="C127" s="16804"/>
      <c r="D127" s="16804"/>
      <c r="E127" s="16805"/>
      <c r="F127" s="16805" t="s">
        <v>91</v>
      </c>
      <c r="G127" s="16805"/>
      <c r="H127" s="16805"/>
      <c r="I127" s="16835"/>
      <c r="J127" s="16835"/>
      <c r="K127" s="16823"/>
      <c r="L127" s="16807"/>
      <c r="M127" s="16824"/>
      <c r="N127" s="16824"/>
      <c r="O127" s="16824"/>
      <c r="P127" s="16825"/>
      <c r="Q127" s="16825"/>
      <c r="R127" s="16836"/>
      <c r="S127" s="16851"/>
      <c r="T127" s="16814"/>
      <c r="U127" s="16814"/>
      <c r="V127" s="16708"/>
      <c r="W127" s="16708"/>
      <c r="X127" s="16716" t="str">
        <f>Y126&amp;"-"&amp;AA126</f>
        <v>-</v>
      </c>
      <c r="Y127" s="16711"/>
      <c r="Z127" s="16711"/>
      <c r="AA127" s="16711"/>
      <c r="AB127" s="16711"/>
      <c r="AC127" s="16852"/>
      <c r="AD127" s="16852"/>
      <c r="AE127" s="16716" t="str">
        <f>AF126&amp;"-"&amp;AH126</f>
        <v>45658.48769675926-46022.48780092593</v>
      </c>
      <c r="AF127" s="16853"/>
      <c r="AG127" s="16847"/>
      <c r="AH127" s="16854"/>
      <c r="AI127" s="16847"/>
      <c r="AJ127" s="16852"/>
      <c r="AK127" s="16852"/>
      <c r="AL127" s="16716" t="str">
        <f>AM126&amp;"-"&amp;AO126</f>
        <v>46023.49471064815-46387.49480324074</v>
      </c>
      <c r="AM127" s="16853"/>
      <c r="AN127" s="16847"/>
      <c r="AO127" s="16853"/>
      <c r="AP127" s="16847"/>
      <c r="AQ127" s="16852"/>
      <c r="AR127" s="16852"/>
      <c r="AS127" s="16716" t="str">
        <f>AT126&amp;"-"&amp;AV126</f>
        <v>46388.50400462963-47118.50412037037</v>
      </c>
      <c r="AT127" s="16853"/>
      <c r="AU127" s="16847"/>
      <c r="AV127" s="16853"/>
      <c r="AW127" s="16847"/>
      <c r="AX127" s="16852"/>
      <c r="AY127" s="16852"/>
      <c r="AZ127" s="16716" t="str">
        <f>BA126&amp;"-"&amp;BC126</f>
        <v>46753.50436342593-47118.50446759259</v>
      </c>
      <c r="BA127" s="16853"/>
      <c r="BB127" s="16847"/>
      <c r="BC127" s="16853"/>
      <c r="BD127" s="16847"/>
      <c r="BE127" s="16708"/>
      <c r="BF127" s="16708"/>
      <c r="BG127" s="16716" t="str">
        <f>BH126&amp;"-"&amp;BJ126</f>
        <v>-</v>
      </c>
      <c r="BH127" s="16711"/>
      <c r="BI127" s="16711"/>
      <c r="BJ127" s="16711"/>
      <c r="BK127" s="16711"/>
      <c r="BL127" s="16855"/>
      <c r="BM127" s="16849"/>
      <c r="BN127" s="16819"/>
      <c r="BO127" s="16820"/>
      <c r="BP127" s="16820" t="str">
        <f>IF(T127="","",T127)</f>
        <v/>
      </c>
      <c r="BQ127" s="16820"/>
      <c r="BR127" s="16820"/>
      <c r="BS127" s="16821">
        <v>0</v>
      </c>
    </row>
    <row s="24375" customFormat="1" customHeight="1" ht="21">
      <c r="A128" s="16804"/>
      <c r="B128" s="16804"/>
      <c r="C128" s="16804"/>
      <c r="D128" s="16804"/>
      <c r="E128" s="16805"/>
      <c r="F128" s="16805" t="s">
        <v>91</v>
      </c>
      <c r="G128" s="16805"/>
      <c r="H128" s="16805"/>
      <c r="I128" s="16835"/>
      <c r="J128" s="16823"/>
      <c r="K128" s="16804"/>
      <c r="L128" s="16807"/>
      <c r="M128" s="16824"/>
      <c r="N128" s="16824"/>
      <c r="O128" s="16824"/>
      <c r="P128" s="16825"/>
      <c r="Q128" s="16825"/>
      <c r="R128" s="16826"/>
      <c r="S128" s="18109"/>
      <c r="T128" s="18110" t="s">
        <v>597</v>
      </c>
      <c r="U128" s="18111"/>
      <c r="V128" s="18112"/>
      <c r="W128" s="18113"/>
      <c r="X128" s="18114"/>
      <c r="Y128" s="18115"/>
      <c r="Z128" s="18116"/>
      <c r="AA128" s="18117"/>
      <c r="AB128" s="18118"/>
      <c r="AC128" s="18119"/>
      <c r="AD128" s="18120"/>
      <c r="AE128" s="18121"/>
      <c r="AF128" s="18122"/>
      <c r="AG128" s="18123"/>
      <c r="AH128" s="18124"/>
      <c r="AI128" s="18125"/>
      <c r="AJ128" s="18126"/>
      <c r="AK128" s="18127"/>
      <c r="AL128" s="18128"/>
      <c r="AM128" s="18129"/>
      <c r="AN128" s="18130"/>
      <c r="AO128" s="18131"/>
      <c r="AP128" s="18132"/>
      <c r="AQ128" s="18133"/>
      <c r="AR128" s="18134"/>
      <c r="AS128" s="18135"/>
      <c r="AT128" s="18136"/>
      <c r="AU128" s="18137"/>
      <c r="AV128" s="18138"/>
      <c r="AW128" s="18139"/>
      <c r="AX128" s="18140"/>
      <c r="AY128" s="18141"/>
      <c r="AZ128" s="18142"/>
      <c r="BA128" s="18143"/>
      <c r="BB128" s="18144"/>
      <c r="BC128" s="18145"/>
      <c r="BD128" s="18146"/>
      <c r="BE128" s="18147"/>
      <c r="BF128" s="18148"/>
      <c r="BG128" s="18149"/>
      <c r="BH128" s="18150"/>
      <c r="BI128" s="18151"/>
      <c r="BJ128" s="18152"/>
      <c r="BK128" s="18153"/>
      <c r="BL128" s="18154"/>
      <c r="BM128" s="16818" t="s">
        <v>598</v>
      </c>
      <c r="BN128" s="16819"/>
      <c r="BO128" s="16820"/>
      <c r="BP128" s="16820" t="str">
        <f>IF(T128="","",T128)</f>
        <v>Добавить значение признака дифференциации</v>
      </c>
      <c r="BQ128" s="16820"/>
      <c r="BR128" s="16820"/>
      <c r="BS128" s="16821">
        <v>0</v>
      </c>
    </row>
    <row s="24422" customFormat="1" customHeight="1" ht="21">
      <c r="A129" s="16804"/>
      <c r="B129" s="16804"/>
      <c r="C129" s="16804"/>
      <c r="D129" s="16804"/>
      <c r="E129" s="16805"/>
      <c r="F129" s="16805" t="s">
        <v>91</v>
      </c>
      <c r="G129" s="16805"/>
      <c r="H129" s="16805"/>
      <c r="I129" s="16823"/>
      <c r="J129" s="16804"/>
      <c r="K129" s="16804"/>
      <c r="L129" s="16807"/>
      <c r="M129" s="16824"/>
      <c r="N129" s="16824"/>
      <c r="O129" s="16824"/>
      <c r="P129" s="16825"/>
      <c r="Q129" s="16825"/>
      <c r="R129" s="16826"/>
      <c r="S129" s="18156"/>
      <c r="T129" s="18157" t="s">
        <v>526</v>
      </c>
      <c r="U129" s="18158"/>
      <c r="V129" s="18159"/>
      <c r="W129" s="18160"/>
      <c r="X129" s="18161"/>
      <c r="Y129" s="18162"/>
      <c r="Z129" s="18163"/>
      <c r="AA129" s="18164"/>
      <c r="AB129" s="18165"/>
      <c r="AC129" s="18166"/>
      <c r="AD129" s="18167"/>
      <c r="AE129" s="18168"/>
      <c r="AF129" s="18169"/>
      <c r="AG129" s="18170"/>
      <c r="AH129" s="18171"/>
      <c r="AI129" s="18172"/>
      <c r="AJ129" s="18173"/>
      <c r="AK129" s="18174"/>
      <c r="AL129" s="18175"/>
      <c r="AM129" s="18176"/>
      <c r="AN129" s="18177"/>
      <c r="AO129" s="18178"/>
      <c r="AP129" s="18179"/>
      <c r="AQ129" s="18180"/>
      <c r="AR129" s="18181"/>
      <c r="AS129" s="18182"/>
      <c r="AT129" s="18183"/>
      <c r="AU129" s="18184"/>
      <c r="AV129" s="18185"/>
      <c r="AW129" s="18186"/>
      <c r="AX129" s="18187"/>
      <c r="AY129" s="18188"/>
      <c r="AZ129" s="18189"/>
      <c r="BA129" s="18190"/>
      <c r="BB129" s="18191"/>
      <c r="BC129" s="18192"/>
      <c r="BD129" s="18193"/>
      <c r="BE129" s="18194"/>
      <c r="BF129" s="18195"/>
      <c r="BG129" s="18196"/>
      <c r="BH129" s="18197"/>
      <c r="BI129" s="18198"/>
      <c r="BJ129" s="18199"/>
      <c r="BK129" s="18200"/>
      <c r="BL129" s="18201"/>
      <c r="BM129" s="18202"/>
      <c r="BN129" s="16819"/>
      <c r="BO129" s="16820"/>
      <c r="BP129" s="16820" t="str">
        <f>IF(T129="","",T129)</f>
        <v>Добавить группу потребителей</v>
      </c>
      <c r="BQ129" s="16820"/>
      <c r="BR129" s="16820"/>
      <c r="BS129" s="16821">
        <v>0</v>
      </c>
    </row>
    <row s="24470" customFormat="1" customHeight="1" ht="14.25">
      <c r="A130" s="16804"/>
      <c r="B130" s="16804"/>
      <c r="C130" s="16804"/>
      <c r="D130" s="16804"/>
      <c r="E130" s="16805"/>
      <c r="F130" s="16805" t="s">
        <v>91</v>
      </c>
      <c r="G130" s="16805"/>
      <c r="H130" s="16806"/>
      <c r="I130" s="16804"/>
      <c r="J130" s="16804"/>
      <c r="K130" s="16804"/>
      <c r="L130" s="16807"/>
      <c r="M130" s="16808"/>
      <c r="N130" s="16808"/>
      <c r="O130" s="16952"/>
      <c r="P130" s="16953"/>
      <c r="Q130" s="16954"/>
      <c r="R130" s="16955"/>
      <c r="S130" s="18204"/>
      <c r="T130" s="18205" t="s">
        <v>599</v>
      </c>
      <c r="U130" s="18206"/>
      <c r="V130" s="18207"/>
      <c r="W130" s="18208"/>
      <c r="X130" s="18209"/>
      <c r="Y130" s="18210"/>
      <c r="Z130" s="18211"/>
      <c r="AA130" s="18212"/>
      <c r="AB130" s="18213"/>
      <c r="AC130" s="18214"/>
      <c r="AD130" s="18215"/>
      <c r="AE130" s="18216"/>
      <c r="AF130" s="18217"/>
      <c r="AG130" s="18218"/>
      <c r="AH130" s="18219"/>
      <c r="AI130" s="18220"/>
      <c r="AJ130" s="18221"/>
      <c r="AK130" s="18222"/>
      <c r="AL130" s="18223"/>
      <c r="AM130" s="18224"/>
      <c r="AN130" s="18225"/>
      <c r="AO130" s="18226"/>
      <c r="AP130" s="18227"/>
      <c r="AQ130" s="18228"/>
      <c r="AR130" s="18229"/>
      <c r="AS130" s="18230"/>
      <c r="AT130" s="18231"/>
      <c r="AU130" s="18232"/>
      <c r="AV130" s="18233"/>
      <c r="AW130" s="18234"/>
      <c r="AX130" s="18235"/>
      <c r="AY130" s="18236"/>
      <c r="AZ130" s="18237"/>
      <c r="BA130" s="18238"/>
      <c r="BB130" s="18239"/>
      <c r="BC130" s="18240"/>
      <c r="BD130" s="18241"/>
      <c r="BE130" s="18242"/>
      <c r="BF130" s="18243"/>
      <c r="BG130" s="18244"/>
      <c r="BH130" s="18245"/>
      <c r="BI130" s="18246"/>
      <c r="BJ130" s="18247"/>
      <c r="BK130" s="18248"/>
      <c r="BL130" s="18249"/>
      <c r="BM130" s="18250"/>
      <c r="BN130" s="16819"/>
      <c r="BO130" s="16820"/>
      <c r="BP130" s="16820" t="str">
        <f>IF(T130="","",T130)</f>
        <v>Добавить наименование признака дифференциации</v>
      </c>
      <c r="BQ130" s="16820"/>
      <c r="BR130" s="16820"/>
      <c r="BS130" s="16821">
        <v>0</v>
      </c>
    </row>
    <row s="24518" customFormat="1" customHeight="1" ht="14.25">
      <c r="A131" s="17944"/>
      <c r="B131" s="17944"/>
      <c r="C131" s="17944"/>
      <c r="D131" s="17944"/>
      <c r="E131" s="16805"/>
      <c r="F131" s="16806" t="s">
        <v>91</v>
      </c>
      <c r="G131" s="17944"/>
      <c r="H131" s="17944"/>
      <c r="I131" s="17944"/>
      <c r="J131" s="17944"/>
      <c r="K131" s="17944"/>
      <c r="L131" s="17945"/>
      <c r="M131" s="17946"/>
      <c r="N131" s="17946"/>
      <c r="O131" s="16819"/>
      <c r="P131" s="17947"/>
      <c r="Q131" s="17948"/>
      <c r="R131" s="17947"/>
      <c r="S131" s="17949"/>
      <c r="T131" s="17950" t="s">
        <v>280</v>
      </c>
      <c r="U131" s="17951"/>
      <c r="V131" s="17951"/>
      <c r="W131" s="17951"/>
      <c r="X131" s="17951"/>
      <c r="Y131" s="17951"/>
      <c r="Z131" s="17951"/>
      <c r="AA131" s="17951"/>
      <c r="AB131" s="17951"/>
      <c r="AC131" s="17951"/>
      <c r="AD131" s="17951"/>
      <c r="AE131" s="17951"/>
      <c r="AF131" s="17951"/>
      <c r="AG131" s="17951"/>
      <c r="AH131" s="17951"/>
      <c r="AI131" s="17951"/>
      <c r="AJ131" s="17951"/>
      <c r="AK131" s="17951"/>
      <c r="AL131" s="17951"/>
      <c r="AM131" s="17951"/>
      <c r="AN131" s="17951"/>
      <c r="AO131" s="17951"/>
      <c r="AP131" s="17951"/>
      <c r="AQ131" s="17951"/>
      <c r="AR131" s="17951"/>
      <c r="AS131" s="17951"/>
      <c r="AT131" s="17951"/>
      <c r="AU131" s="17951"/>
      <c r="AV131" s="17951"/>
      <c r="AW131" s="17951"/>
      <c r="AX131" s="17951"/>
      <c r="AY131" s="17951"/>
      <c r="AZ131" s="17951"/>
      <c r="BA131" s="17951"/>
      <c r="BB131" s="17951"/>
      <c r="BC131" s="17951"/>
      <c r="BD131" s="17951"/>
      <c r="BE131" s="17951"/>
      <c r="BF131" s="17951"/>
      <c r="BG131" s="17951"/>
      <c r="BH131" s="17951"/>
      <c r="BI131" s="17951"/>
      <c r="BJ131" s="17951"/>
      <c r="BK131" s="17951"/>
      <c r="BL131" s="17951"/>
      <c r="BM131" s="17951"/>
      <c r="BN131" s="16819"/>
      <c r="BO131" s="16820"/>
      <c r="BP131" s="16820" t="str">
        <f>IF(T131="","",T131)</f>
        <v>Добавить централизованную систему для дифференциации</v>
      </c>
      <c r="BQ131" s="16820"/>
      <c r="BR131" s="16820"/>
      <c r="BS131" s="16819">
        <v>0</v>
      </c>
    </row>
    <row s="24519" customFormat="1" customHeight="1" ht="23.25">
      <c r="A132" s="16804"/>
      <c r="B132" s="16804" t="s">
        <v>301</v>
      </c>
      <c r="C132" s="16804"/>
      <c r="D132" s="16804"/>
      <c r="E132" s="16805"/>
      <c r="F132" s="16806" t="s">
        <v>92</v>
      </c>
      <c r="G132" s="16804"/>
      <c r="H132" s="16804"/>
      <c r="I132" s="16804"/>
      <c r="J132" s="16804"/>
      <c r="K132" s="16804"/>
      <c r="L132" s="16807"/>
      <c r="M132" s="16808"/>
      <c r="N132" s="16808"/>
      <c r="O132" s="16808"/>
      <c r="P132" s="17793"/>
      <c r="Q132" s="16810"/>
      <c r="R132" s="16811"/>
      <c r="S132" s="16812" t="str">
        <f>INDEX(PT_DIFFERENTIATION_NUM_TER,MATCH(B132,PT_DIFFERENTIATION_TER_ID,0))</f>
        <v>1.6</v>
      </c>
      <c r="T132" s="17794" t="s">
        <v>511</v>
      </c>
      <c r="U132" s="16814"/>
      <c r="V132" s="16815"/>
      <c r="W132" s="16816"/>
      <c r="X132" s="16816"/>
      <c r="Y132" s="16816"/>
      <c r="Z132" s="16816"/>
      <c r="AA132" s="16816"/>
      <c r="AB132" s="16817"/>
      <c r="AC132" s="16815" t="str">
        <f>INDEX(PT_DIFFERENTIATION_TER,MATCH(B132,PT_DIFFERENTIATION_TER_ID,0))</f>
        <v>Территория 6</v>
      </c>
      <c r="AD132" s="16816"/>
      <c r="AE132" s="16816"/>
      <c r="AF132" s="16816"/>
      <c r="AG132" s="16816"/>
      <c r="AH132" s="16816"/>
      <c r="AI132" s="16816"/>
      <c r="AJ132" s="16815"/>
      <c r="AK132" s="16816"/>
      <c r="AL132" s="16816"/>
      <c r="AM132" s="16816"/>
      <c r="AN132" s="16816"/>
      <c r="AO132" s="16816"/>
      <c r="AP132" s="16817"/>
      <c r="AQ132" s="16815"/>
      <c r="AR132" s="16816"/>
      <c r="AS132" s="16816"/>
      <c r="AT132" s="16816"/>
      <c r="AU132" s="16816"/>
      <c r="AV132" s="16816"/>
      <c r="AW132" s="16817"/>
      <c r="AX132" s="16815"/>
      <c r="AY132" s="16816"/>
      <c r="AZ132" s="16816"/>
      <c r="BA132" s="16816"/>
      <c r="BB132" s="16816"/>
      <c r="BC132" s="16816"/>
      <c r="BD132" s="16817"/>
      <c r="BE132" s="16815"/>
      <c r="BF132" s="16816"/>
      <c r="BG132" s="16816"/>
      <c r="BH132" s="16816"/>
      <c r="BI132" s="16816"/>
      <c r="BJ132" s="16816"/>
      <c r="BK132" s="16817"/>
      <c r="BL132" s="16817"/>
      <c r="BM132" s="16818" t="s">
        <v>512</v>
      </c>
      <c r="BN132" s="16819"/>
      <c r="BO132" s="16820"/>
      <c r="BP132" s="16820" t="str">
        <f>IF(T132="","",T132)</f>
        <v>Территория действия тарифа</v>
      </c>
      <c r="BQ132" s="16820"/>
      <c r="BR132" s="16820"/>
      <c r="BS132" s="16821">
        <v>0</v>
      </c>
    </row>
    <row s="24520" customFormat="1" customHeight="1" ht="23.25">
      <c r="A133" s="16804"/>
      <c r="B133" s="16804"/>
      <c r="C133" s="16804" t="s">
        <v>302</v>
      </c>
      <c r="D133" s="16804"/>
      <c r="E133" s="16805"/>
      <c r="F133" s="16805" t="s">
        <v>116</v>
      </c>
      <c r="G133" s="16806">
        <v>1</v>
      </c>
      <c r="H133" s="16804"/>
      <c r="I133" s="16804"/>
      <c r="J133" s="16804"/>
      <c r="K133" s="16804"/>
      <c r="L133" s="16807"/>
      <c r="M133" s="16808"/>
      <c r="N133" s="16808"/>
      <c r="O133" s="16808"/>
      <c r="P133" s="16809"/>
      <c r="Q133" s="16810"/>
      <c r="R133" s="16811"/>
      <c r="S133" s="16812" t="str">
        <f>INDEX(PT_DIFFERENTIATION_NUM_CS,MATCH(C133,PT_DIFFERENTIATION_CS_ID,0))</f>
        <v>1.6.1</v>
      </c>
      <c r="T133" s="16813" t="s">
        <v>592</v>
      </c>
      <c r="U133" s="16814"/>
      <c r="V133" s="16815"/>
      <c r="W133" s="16816"/>
      <c r="X133" s="16816"/>
      <c r="Y133" s="16816"/>
      <c r="Z133" s="16816"/>
      <c r="AA133" s="16816"/>
      <c r="AB133" s="16817"/>
      <c r="AC133" s="16815" t="str">
        <f>INDEX(PT_DIFFERENTIATION_CS,MATCH(C133,PT_DIFFERENTIATION_CS_ID,0))</f>
        <v>Дальнегорский ГО</v>
      </c>
      <c r="AD133" s="16816"/>
      <c r="AE133" s="16816"/>
      <c r="AF133" s="16816"/>
      <c r="AG133" s="16816"/>
      <c r="AH133" s="16816"/>
      <c r="AI133" s="16816"/>
      <c r="AJ133" s="16815"/>
      <c r="AK133" s="16816"/>
      <c r="AL133" s="16816"/>
      <c r="AM133" s="16816"/>
      <c r="AN133" s="16816"/>
      <c r="AO133" s="16816"/>
      <c r="AP133" s="16817"/>
      <c r="AQ133" s="16815"/>
      <c r="AR133" s="16816"/>
      <c r="AS133" s="16816"/>
      <c r="AT133" s="16816"/>
      <c r="AU133" s="16816"/>
      <c r="AV133" s="16816"/>
      <c r="AW133" s="16817"/>
      <c r="AX133" s="16815"/>
      <c r="AY133" s="16816"/>
      <c r="AZ133" s="16816"/>
      <c r="BA133" s="16816"/>
      <c r="BB133" s="16816"/>
      <c r="BC133" s="16816"/>
      <c r="BD133" s="16817"/>
      <c r="BE133" s="16815"/>
      <c r="BF133" s="16816"/>
      <c r="BG133" s="16816"/>
      <c r="BH133" s="16816"/>
      <c r="BI133" s="16816"/>
      <c r="BJ133" s="16816"/>
      <c r="BK133" s="16817"/>
      <c r="BL133" s="16817"/>
      <c r="BM133" s="16818" t="s">
        <v>593</v>
      </c>
      <c r="BN133" s="16819"/>
      <c r="BO133" s="16820"/>
      <c r="BP133" s="16820" t="str">
        <f>IF(T133="","",T133)</f>
        <v>Наименование централизованной системы холодного водоснабжения</v>
      </c>
      <c r="BQ133" s="16820"/>
      <c r="BR133" s="16820"/>
      <c r="BS133" s="16821">
        <v>0</v>
      </c>
    </row>
    <row s="24521" customFormat="1" customHeight="1" ht="23.25">
      <c r="A134" s="16804"/>
      <c r="B134" s="16804"/>
      <c r="C134" s="16804"/>
      <c r="D134" s="16804"/>
      <c r="E134" s="16805"/>
      <c r="F134" s="16805" t="s">
        <v>116</v>
      </c>
      <c r="G134" s="16805"/>
      <c r="H134" s="16805"/>
      <c r="I134" s="16823" t="str">
        <f>S133&amp;".1"</f>
        <v>1.6.1.1</v>
      </c>
      <c r="J134" s="16804"/>
      <c r="K134" s="16804"/>
      <c r="L134" s="16807"/>
      <c r="M134" s="16824"/>
      <c r="N134" s="16824"/>
      <c r="O134" s="16824"/>
      <c r="P134" s="16825">
        <v>1</v>
      </c>
      <c r="Q134" s="16825"/>
      <c r="R134" s="16826"/>
      <c r="S134" s="16812" t="str">
        <f>$I134</f>
        <v>1.6.1.1</v>
      </c>
      <c r="T134" s="16827" t="s">
        <v>594</v>
      </c>
      <c r="U134" s="16814"/>
      <c r="V134" s="16828"/>
      <c r="W134" s="16829"/>
      <c r="X134" s="16829"/>
      <c r="Y134" s="16829"/>
      <c r="Z134" s="16829"/>
      <c r="AA134" s="16829"/>
      <c r="AB134" s="16830"/>
      <c r="AC134" s="16831"/>
      <c r="AD134" s="16832"/>
      <c r="AE134" s="16832"/>
      <c r="AF134" s="16832"/>
      <c r="AG134" s="16832"/>
      <c r="AH134" s="16832"/>
      <c r="AI134" s="16832"/>
      <c r="AJ134" s="16828"/>
      <c r="AK134" s="16829"/>
      <c r="AL134" s="16829"/>
      <c r="AM134" s="16829"/>
      <c r="AN134" s="16829"/>
      <c r="AO134" s="16829"/>
      <c r="AP134" s="16830"/>
      <c r="AQ134" s="16828"/>
      <c r="AR134" s="16829"/>
      <c r="AS134" s="16829"/>
      <c r="AT134" s="16829"/>
      <c r="AU134" s="16829"/>
      <c r="AV134" s="16829"/>
      <c r="AW134" s="16830"/>
      <c r="AX134" s="16828"/>
      <c r="AY134" s="16829"/>
      <c r="AZ134" s="16829"/>
      <c r="BA134" s="16829"/>
      <c r="BB134" s="16829"/>
      <c r="BC134" s="16829"/>
      <c r="BD134" s="16830"/>
      <c r="BE134" s="16828"/>
      <c r="BF134" s="16829"/>
      <c r="BG134" s="16829"/>
      <c r="BH134" s="16829"/>
      <c r="BI134" s="16829"/>
      <c r="BJ134" s="16829"/>
      <c r="BK134" s="16830"/>
      <c r="BL134" s="16833"/>
      <c r="BM134" s="16818" t="s">
        <v>595</v>
      </c>
      <c r="BN134" s="16819"/>
      <c r="BO134" s="16820"/>
      <c r="BP134" s="16820" t="str">
        <f>IF(T134="","",T134)</f>
        <v>Наименование признака дифференциации</v>
      </c>
      <c r="BQ134" s="16820"/>
      <c r="BR134" s="16820"/>
      <c r="BS134" s="16821">
        <v>0</v>
      </c>
    </row>
    <row s="24522" customFormat="1" customHeight="1" ht="23.25">
      <c r="A135" s="16804"/>
      <c r="B135" s="16804"/>
      <c r="C135" s="16804"/>
      <c r="D135" s="16804"/>
      <c r="E135" s="16805"/>
      <c r="F135" s="16805" t="s">
        <v>116</v>
      </c>
      <c r="G135" s="16805"/>
      <c r="H135" s="16805"/>
      <c r="I135" s="16835"/>
      <c r="J135" s="16823" t="str">
        <f>I134&amp;".1"</f>
        <v>1.6.1.1.1</v>
      </c>
      <c r="K135" s="16804"/>
      <c r="L135" s="16807" t="s">
        <v>520</v>
      </c>
      <c r="M135" s="16824"/>
      <c r="N135" s="16824"/>
      <c r="O135" s="16824"/>
      <c r="P135" s="16825"/>
      <c r="Q135" s="16825">
        <v>1</v>
      </c>
      <c r="R135" s="16836"/>
      <c r="S135" s="16812" t="str">
        <f>$J135</f>
        <v>1.6.1.1.1</v>
      </c>
      <c r="T135" s="16837" t="s">
        <v>521</v>
      </c>
      <c r="U135" s="16814"/>
      <c r="V135" s="16838"/>
      <c r="W135" s="16839"/>
      <c r="X135" s="16839"/>
      <c r="Y135" s="16839"/>
      <c r="Z135" s="16839"/>
      <c r="AA135" s="16839"/>
      <c r="AB135" s="16840"/>
      <c r="AC135" s="16838" t="s">
        <v>607</v>
      </c>
      <c r="AD135" s="16839"/>
      <c r="AE135" s="16839"/>
      <c r="AF135" s="16839"/>
      <c r="AG135" s="16839"/>
      <c r="AH135" s="16839"/>
      <c r="AI135" s="16839"/>
      <c r="AJ135" s="16838"/>
      <c r="AK135" s="16839"/>
      <c r="AL135" s="16839"/>
      <c r="AM135" s="16839"/>
      <c r="AN135" s="16839"/>
      <c r="AO135" s="16839"/>
      <c r="AP135" s="16840"/>
      <c r="AQ135" s="16838"/>
      <c r="AR135" s="16839"/>
      <c r="AS135" s="16839"/>
      <c r="AT135" s="16839"/>
      <c r="AU135" s="16839"/>
      <c r="AV135" s="16839"/>
      <c r="AW135" s="16840"/>
      <c r="AX135" s="16838"/>
      <c r="AY135" s="16839"/>
      <c r="AZ135" s="16839"/>
      <c r="BA135" s="16839"/>
      <c r="BB135" s="16839"/>
      <c r="BC135" s="16839"/>
      <c r="BD135" s="16840"/>
      <c r="BE135" s="16838"/>
      <c r="BF135" s="16839"/>
      <c r="BG135" s="16839"/>
      <c r="BH135" s="16839"/>
      <c r="BI135" s="16839"/>
      <c r="BJ135" s="16839"/>
      <c r="BK135" s="16840"/>
      <c r="BL135" s="16840"/>
      <c r="BM135" s="16841" t="s">
        <v>596</v>
      </c>
      <c r="BN135" s="16819"/>
      <c r="BO135" s="16820"/>
      <c r="BP135" s="16820" t="str">
        <f>IF(T135="","",T135)</f>
        <v>Группа потребителей</v>
      </c>
      <c r="BQ135" s="16820"/>
      <c r="BR135" s="16820"/>
      <c r="BS135" s="16821">
        <v>0</v>
      </c>
    </row>
    <row s="24523" customFormat="1" customHeight="1" ht="23.25">
      <c r="A136" s="16804"/>
      <c r="B136" s="16804"/>
      <c r="C136" s="16804"/>
      <c r="D136" s="16804"/>
      <c r="E136" s="16805"/>
      <c r="F136" s="16805" t="s">
        <v>116</v>
      </c>
      <c r="G136" s="16805"/>
      <c r="H136" s="16805"/>
      <c r="I136" s="16835"/>
      <c r="J136" s="16835"/>
      <c r="K136" s="16823" t="str">
        <f>J135&amp;".1"</f>
        <v>1.6.1.1.1.1</v>
      </c>
      <c r="L136" s="16807"/>
      <c r="M136" s="16824"/>
      <c r="N136" s="16824"/>
      <c r="O136" s="16824"/>
      <c r="P136" s="16825"/>
      <c r="Q136" s="16825"/>
      <c r="R136" s="16836">
        <v>1</v>
      </c>
      <c r="S136" s="16812" t="str">
        <f>$K136</f>
        <v>1.6.1.1.1.1</v>
      </c>
      <c r="T136" s="16843" t="s">
        <v>590</v>
      </c>
      <c r="U136" s="16814"/>
      <c r="V136" s="16708"/>
      <c r="W136" s="16708"/>
      <c r="X136" s="16709"/>
      <c r="Y136" s="16710"/>
      <c r="Z136" s="16711" t="s">
        <v>66</v>
      </c>
      <c r="AA136" s="16710"/>
      <c r="AB136" s="16711" t="s">
        <v>66</v>
      </c>
      <c r="AC136" s="16844">
        <v>47.43</v>
      </c>
      <c r="AD136" s="16844"/>
      <c r="AE136" s="16845"/>
      <c r="AF136" s="16846">
        <v>45658.487974537034</v>
      </c>
      <c r="AG136" s="16847" t="s">
        <v>66</v>
      </c>
      <c r="AH136" s="16712">
        <v>46022.48806712963</v>
      </c>
      <c r="AI136" s="16847" t="s">
        <v>66</v>
      </c>
      <c r="AJ136" s="16844">
        <v>44.45</v>
      </c>
      <c r="AK136" s="16844"/>
      <c r="AL136" s="16845"/>
      <c r="AM136" s="16846">
        <v>46023.494988425926</v>
      </c>
      <c r="AN136" s="16847" t="s">
        <v>66</v>
      </c>
      <c r="AO136" s="16846">
        <v>46387.49506944444</v>
      </c>
      <c r="AP136" s="16847" t="s">
        <v>66</v>
      </c>
      <c r="AQ136" s="16844">
        <v>45.63</v>
      </c>
      <c r="AR136" s="16844"/>
      <c r="AS136" s="16845"/>
      <c r="AT136" s="16846">
        <v>46388.50466435185</v>
      </c>
      <c r="AU136" s="16847" t="s">
        <v>66</v>
      </c>
      <c r="AV136" s="16846">
        <v>46752.50476851852</v>
      </c>
      <c r="AW136" s="16847" t="s">
        <v>66</v>
      </c>
      <c r="AX136" s="16844">
        <v>46.84</v>
      </c>
      <c r="AY136" s="16844"/>
      <c r="AZ136" s="16845"/>
      <c r="BA136" s="16846">
        <v>46753.50493055556</v>
      </c>
      <c r="BB136" s="16847" t="s">
        <v>66</v>
      </c>
      <c r="BC136" s="16846">
        <v>47118.50523148148</v>
      </c>
      <c r="BD136" s="16847" t="s">
        <v>19</v>
      </c>
      <c r="BE136" s="16708"/>
      <c r="BF136" s="16708"/>
      <c r="BG136" s="16709"/>
      <c r="BH136" s="16710"/>
      <c r="BI136" s="16711" t="s">
        <v>66</v>
      </c>
      <c r="BJ136" s="16710"/>
      <c r="BK136" s="16711" t="s">
        <v>66</v>
      </c>
      <c r="BL136" s="16848"/>
      <c r="BM13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36" s="16819">
        <f>STRCHECKDATE(V137:BL137)</f>
      </c>
      <c r="BO136" s="16820"/>
      <c r="BP136" s="16820" t="str">
        <f>IF(T136="","",T136)</f>
        <v>без НДС</v>
      </c>
      <c r="BQ136" s="16820"/>
      <c r="BR136" s="16820"/>
      <c r="BS136" s="16821">
        <v>0</v>
      </c>
    </row>
    <row s="24524" customFormat="1" customHeight="1" ht="14.25">
      <c r="A137" s="16804"/>
      <c r="B137" s="16804"/>
      <c r="C137" s="16804"/>
      <c r="D137" s="16804"/>
      <c r="E137" s="16805"/>
      <c r="F137" s="16805" t="s">
        <v>116</v>
      </c>
      <c r="G137" s="16805"/>
      <c r="H137" s="16805"/>
      <c r="I137" s="16835"/>
      <c r="J137" s="16835"/>
      <c r="K137" s="16823"/>
      <c r="L137" s="16807"/>
      <c r="M137" s="16824"/>
      <c r="N137" s="16824"/>
      <c r="O137" s="16824"/>
      <c r="P137" s="16825"/>
      <c r="Q137" s="16825"/>
      <c r="R137" s="16836"/>
      <c r="S137" s="16851"/>
      <c r="T137" s="16814"/>
      <c r="U137" s="16814"/>
      <c r="V137" s="16708"/>
      <c r="W137" s="16708"/>
      <c r="X137" s="16716" t="str">
        <f>Y136&amp;"-"&amp;AA136</f>
        <v>-</v>
      </c>
      <c r="Y137" s="16711"/>
      <c r="Z137" s="16711"/>
      <c r="AA137" s="16711"/>
      <c r="AB137" s="16711"/>
      <c r="AC137" s="16852"/>
      <c r="AD137" s="16852"/>
      <c r="AE137" s="16716" t="str">
        <f>AF136&amp;"-"&amp;AH136</f>
        <v>45658.487974537034-46022.48806712963</v>
      </c>
      <c r="AF137" s="16853"/>
      <c r="AG137" s="16847"/>
      <c r="AH137" s="16854"/>
      <c r="AI137" s="16847"/>
      <c r="AJ137" s="16852"/>
      <c r="AK137" s="16852"/>
      <c r="AL137" s="16716" t="str">
        <f>AM136&amp;"-"&amp;AO136</f>
        <v>46023.494988425926-46387.49506944444</v>
      </c>
      <c r="AM137" s="16853"/>
      <c r="AN137" s="16847"/>
      <c r="AO137" s="16853"/>
      <c r="AP137" s="16847"/>
      <c r="AQ137" s="16852"/>
      <c r="AR137" s="16852"/>
      <c r="AS137" s="16716" t="str">
        <f>AT136&amp;"-"&amp;AV136</f>
        <v>46388.50466435185-46752.50476851852</v>
      </c>
      <c r="AT137" s="16853"/>
      <c r="AU137" s="16847"/>
      <c r="AV137" s="16853"/>
      <c r="AW137" s="16847"/>
      <c r="AX137" s="16852"/>
      <c r="AY137" s="16852"/>
      <c r="AZ137" s="16716" t="str">
        <f>BA136&amp;"-"&amp;BC136</f>
        <v>46753.50493055556-47118.50523148148</v>
      </c>
      <c r="BA137" s="16853"/>
      <c r="BB137" s="16847"/>
      <c r="BC137" s="16853"/>
      <c r="BD137" s="16847"/>
      <c r="BE137" s="16708"/>
      <c r="BF137" s="16708"/>
      <c r="BG137" s="16716" t="str">
        <f>BH136&amp;"-"&amp;BJ136</f>
        <v>-</v>
      </c>
      <c r="BH137" s="16711"/>
      <c r="BI137" s="16711"/>
      <c r="BJ137" s="16711"/>
      <c r="BK137" s="16711"/>
      <c r="BL137" s="16855"/>
      <c r="BM137" s="16849"/>
      <c r="BN137" s="16819"/>
      <c r="BO137" s="16820"/>
      <c r="BP137" s="16820" t="str">
        <f>IF(T137="","",T137)</f>
        <v/>
      </c>
      <c r="BQ137" s="16820"/>
      <c r="BR137" s="16820"/>
      <c r="BS137" s="16821">
        <v>0</v>
      </c>
    </row>
    <row s="24525" customFormat="1" customHeight="1" ht="21">
      <c r="A138" s="16804"/>
      <c r="B138" s="16804"/>
      <c r="C138" s="16804"/>
      <c r="D138" s="16804"/>
      <c r="E138" s="16805"/>
      <c r="F138" s="16805" t="s">
        <v>116</v>
      </c>
      <c r="G138" s="16805"/>
      <c r="H138" s="16805"/>
      <c r="I138" s="16835"/>
      <c r="J138" s="16823"/>
      <c r="K138" s="16804"/>
      <c r="L138" s="16807"/>
      <c r="M138" s="16824"/>
      <c r="N138" s="16824"/>
      <c r="O138" s="16824"/>
      <c r="P138" s="16825"/>
      <c r="Q138" s="16825"/>
      <c r="R138" s="16826"/>
      <c r="S138" s="18259"/>
      <c r="T138" s="18260" t="s">
        <v>597</v>
      </c>
      <c r="U138" s="18261"/>
      <c r="V138" s="18262"/>
      <c r="W138" s="18263"/>
      <c r="X138" s="18264"/>
      <c r="Y138" s="18265"/>
      <c r="Z138" s="18266"/>
      <c r="AA138" s="18267"/>
      <c r="AB138" s="18268"/>
      <c r="AC138" s="18269"/>
      <c r="AD138" s="18270"/>
      <c r="AE138" s="18271"/>
      <c r="AF138" s="18272"/>
      <c r="AG138" s="18273"/>
      <c r="AH138" s="18274"/>
      <c r="AI138" s="18275"/>
      <c r="AJ138" s="18276"/>
      <c r="AK138" s="18277"/>
      <c r="AL138" s="18278"/>
      <c r="AM138" s="18279"/>
      <c r="AN138" s="18280"/>
      <c r="AO138" s="18281"/>
      <c r="AP138" s="18282"/>
      <c r="AQ138" s="18283"/>
      <c r="AR138" s="18284"/>
      <c r="AS138" s="18285"/>
      <c r="AT138" s="18286"/>
      <c r="AU138" s="18287"/>
      <c r="AV138" s="18288"/>
      <c r="AW138" s="18289"/>
      <c r="AX138" s="18290"/>
      <c r="AY138" s="18291"/>
      <c r="AZ138" s="18292"/>
      <c r="BA138" s="18293"/>
      <c r="BB138" s="18294"/>
      <c r="BC138" s="18295"/>
      <c r="BD138" s="18296"/>
      <c r="BE138" s="18297"/>
      <c r="BF138" s="18298"/>
      <c r="BG138" s="18299"/>
      <c r="BH138" s="18300"/>
      <c r="BI138" s="18301"/>
      <c r="BJ138" s="18302"/>
      <c r="BK138" s="18303"/>
      <c r="BL138" s="18304"/>
      <c r="BM138" s="16818" t="s">
        <v>598</v>
      </c>
      <c r="BN138" s="16819"/>
      <c r="BO138" s="16820"/>
      <c r="BP138" s="16820" t="str">
        <f>IF(T138="","",T138)</f>
        <v>Добавить значение признака дифференциации</v>
      </c>
      <c r="BQ138" s="16820"/>
      <c r="BR138" s="16820"/>
      <c r="BS138" s="16821">
        <v>0</v>
      </c>
    </row>
    <row s="24572" customFormat="1" customHeight="1" ht="21">
      <c r="A139" s="16804"/>
      <c r="B139" s="16804"/>
      <c r="C139" s="16804"/>
      <c r="D139" s="16804"/>
      <c r="E139" s="16805"/>
      <c r="F139" s="16805" t="s">
        <v>116</v>
      </c>
      <c r="G139" s="16805"/>
      <c r="H139" s="16805"/>
      <c r="I139" s="16823"/>
      <c r="J139" s="16804"/>
      <c r="K139" s="16804"/>
      <c r="L139" s="16807"/>
      <c r="M139" s="16824"/>
      <c r="N139" s="16824"/>
      <c r="O139" s="16824"/>
      <c r="P139" s="16825"/>
      <c r="Q139" s="16825"/>
      <c r="R139" s="16826"/>
      <c r="S139" s="18306"/>
      <c r="T139" s="18307" t="s">
        <v>526</v>
      </c>
      <c r="U139" s="18308"/>
      <c r="V139" s="18309"/>
      <c r="W139" s="18310"/>
      <c r="X139" s="18311"/>
      <c r="Y139" s="18312"/>
      <c r="Z139" s="18313"/>
      <c r="AA139" s="18314"/>
      <c r="AB139" s="18315"/>
      <c r="AC139" s="18316"/>
      <c r="AD139" s="18317"/>
      <c r="AE139" s="18318"/>
      <c r="AF139" s="18319"/>
      <c r="AG139" s="18320"/>
      <c r="AH139" s="18321"/>
      <c r="AI139" s="18322"/>
      <c r="AJ139" s="18323"/>
      <c r="AK139" s="18324"/>
      <c r="AL139" s="18325"/>
      <c r="AM139" s="18326"/>
      <c r="AN139" s="18327"/>
      <c r="AO139" s="18328"/>
      <c r="AP139" s="18329"/>
      <c r="AQ139" s="18330"/>
      <c r="AR139" s="18331"/>
      <c r="AS139" s="18332"/>
      <c r="AT139" s="18333"/>
      <c r="AU139" s="18334"/>
      <c r="AV139" s="18335"/>
      <c r="AW139" s="18336"/>
      <c r="AX139" s="18337"/>
      <c r="AY139" s="18338"/>
      <c r="AZ139" s="18339"/>
      <c r="BA139" s="18340"/>
      <c r="BB139" s="18341"/>
      <c r="BC139" s="18342"/>
      <c r="BD139" s="18343"/>
      <c r="BE139" s="18344"/>
      <c r="BF139" s="18345"/>
      <c r="BG139" s="18346"/>
      <c r="BH139" s="18347"/>
      <c r="BI139" s="18348"/>
      <c r="BJ139" s="18349"/>
      <c r="BK139" s="18350"/>
      <c r="BL139" s="18351"/>
      <c r="BM139" s="18352"/>
      <c r="BN139" s="16819"/>
      <c r="BO139" s="16820"/>
      <c r="BP139" s="16820" t="str">
        <f>IF(T139="","",T139)</f>
        <v>Добавить группу потребителей</v>
      </c>
      <c r="BQ139" s="16820"/>
      <c r="BR139" s="16820"/>
      <c r="BS139" s="16821">
        <v>0</v>
      </c>
    </row>
    <row s="24620" customFormat="1" customHeight="1" ht="14.25">
      <c r="A140" s="16804"/>
      <c r="B140" s="16804"/>
      <c r="C140" s="16804"/>
      <c r="D140" s="16804"/>
      <c r="E140" s="16805"/>
      <c r="F140" s="16805" t="s">
        <v>116</v>
      </c>
      <c r="G140" s="16805"/>
      <c r="H140" s="16806"/>
      <c r="I140" s="16804"/>
      <c r="J140" s="16804"/>
      <c r="K140" s="16804"/>
      <c r="L140" s="16807"/>
      <c r="M140" s="16808"/>
      <c r="N140" s="16808"/>
      <c r="O140" s="16952"/>
      <c r="P140" s="16953"/>
      <c r="Q140" s="16954"/>
      <c r="R140" s="16955"/>
      <c r="S140" s="18354"/>
      <c r="T140" s="18355" t="s">
        <v>599</v>
      </c>
      <c r="U140" s="18356"/>
      <c r="V140" s="18357"/>
      <c r="W140" s="18358"/>
      <c r="X140" s="18359"/>
      <c r="Y140" s="18360"/>
      <c r="Z140" s="18361"/>
      <c r="AA140" s="18362"/>
      <c r="AB140" s="18363"/>
      <c r="AC140" s="18364"/>
      <c r="AD140" s="18365"/>
      <c r="AE140" s="18366"/>
      <c r="AF140" s="18367"/>
      <c r="AG140" s="18368"/>
      <c r="AH140" s="18369"/>
      <c r="AI140" s="18370"/>
      <c r="AJ140" s="18371"/>
      <c r="AK140" s="18372"/>
      <c r="AL140" s="18373"/>
      <c r="AM140" s="18374"/>
      <c r="AN140" s="18375"/>
      <c r="AO140" s="18376"/>
      <c r="AP140" s="18377"/>
      <c r="AQ140" s="18378"/>
      <c r="AR140" s="18379"/>
      <c r="AS140" s="18380"/>
      <c r="AT140" s="18381"/>
      <c r="AU140" s="18382"/>
      <c r="AV140" s="18383"/>
      <c r="AW140" s="18384"/>
      <c r="AX140" s="18385"/>
      <c r="AY140" s="18386"/>
      <c r="AZ140" s="18387"/>
      <c r="BA140" s="18388"/>
      <c r="BB140" s="18389"/>
      <c r="BC140" s="18390"/>
      <c r="BD140" s="18391"/>
      <c r="BE140" s="18392"/>
      <c r="BF140" s="18393"/>
      <c r="BG140" s="18394"/>
      <c r="BH140" s="18395"/>
      <c r="BI140" s="18396"/>
      <c r="BJ140" s="18397"/>
      <c r="BK140" s="18398"/>
      <c r="BL140" s="18399"/>
      <c r="BM140" s="18400"/>
      <c r="BN140" s="16819"/>
      <c r="BO140" s="16820"/>
      <c r="BP140" s="16820" t="str">
        <f>IF(T140="","",T140)</f>
        <v>Добавить наименование признака дифференциации</v>
      </c>
      <c r="BQ140" s="16820"/>
      <c r="BR140" s="16820"/>
      <c r="BS140" s="16821">
        <v>0</v>
      </c>
    </row>
    <row s="24668" customFormat="1" customHeight="1" ht="14.25">
      <c r="A141" s="17944"/>
      <c r="B141" s="17944"/>
      <c r="C141" s="17944"/>
      <c r="D141" s="17944"/>
      <c r="E141" s="16805"/>
      <c r="F141" s="16806" t="s">
        <v>116</v>
      </c>
      <c r="G141" s="17944"/>
      <c r="H141" s="17944"/>
      <c r="I141" s="17944"/>
      <c r="J141" s="17944"/>
      <c r="K141" s="17944"/>
      <c r="L141" s="17945"/>
      <c r="M141" s="17946"/>
      <c r="N141" s="17946"/>
      <c r="O141" s="16819"/>
      <c r="P141" s="17947"/>
      <c r="Q141" s="17948"/>
      <c r="R141" s="17947"/>
      <c r="S141" s="17949"/>
      <c r="T141" s="17950" t="s">
        <v>280</v>
      </c>
      <c r="U141" s="17951"/>
      <c r="V141" s="17951"/>
      <c r="W141" s="17951"/>
      <c r="X141" s="17951"/>
      <c r="Y141" s="17951"/>
      <c r="Z141" s="17951"/>
      <c r="AA141" s="17951"/>
      <c r="AB141" s="17951"/>
      <c r="AC141" s="17951"/>
      <c r="AD141" s="17951"/>
      <c r="AE141" s="17951"/>
      <c r="AF141" s="17951"/>
      <c r="AG141" s="17951"/>
      <c r="AH141" s="17951"/>
      <c r="AI141" s="17951"/>
      <c r="AJ141" s="17951"/>
      <c r="AK141" s="17951"/>
      <c r="AL141" s="17951"/>
      <c r="AM141" s="17951"/>
      <c r="AN141" s="17951"/>
      <c r="AO141" s="17951"/>
      <c r="AP141" s="17951"/>
      <c r="AQ141" s="17951"/>
      <c r="AR141" s="17951"/>
      <c r="AS141" s="17951"/>
      <c r="AT141" s="17951"/>
      <c r="AU141" s="17951"/>
      <c r="AV141" s="17951"/>
      <c r="AW141" s="17951"/>
      <c r="AX141" s="17951"/>
      <c r="AY141" s="17951"/>
      <c r="AZ141" s="17951"/>
      <c r="BA141" s="17951"/>
      <c r="BB141" s="17951"/>
      <c r="BC141" s="17951"/>
      <c r="BD141" s="17951"/>
      <c r="BE141" s="17951"/>
      <c r="BF141" s="17951"/>
      <c r="BG141" s="17951"/>
      <c r="BH141" s="17951"/>
      <c r="BI141" s="17951"/>
      <c r="BJ141" s="17951"/>
      <c r="BK141" s="17951"/>
      <c r="BL141" s="17951"/>
      <c r="BM141" s="17951"/>
      <c r="BN141" s="16819"/>
      <c r="BO141" s="16820"/>
      <c r="BP141" s="16820" t="str">
        <f>IF(T141="","",T141)</f>
        <v>Добавить централизованную систему для дифференциации</v>
      </c>
      <c r="BQ141" s="16820"/>
      <c r="BR141" s="16820"/>
      <c r="BS141" s="16819">
        <v>0</v>
      </c>
    </row>
    <row s="24669" customFormat="1" customHeight="1" ht="23.25">
      <c r="A142" s="16804"/>
      <c r="B142" s="16804" t="s">
        <v>305</v>
      </c>
      <c r="C142" s="16804"/>
      <c r="D142" s="16804"/>
      <c r="E142" s="16805"/>
      <c r="F142" s="16806" t="s">
        <v>93</v>
      </c>
      <c r="G142" s="16804"/>
      <c r="H142" s="16804"/>
      <c r="I142" s="16804"/>
      <c r="J142" s="16804"/>
      <c r="K142" s="16804"/>
      <c r="L142" s="16807"/>
      <c r="M142" s="16808"/>
      <c r="N142" s="16808"/>
      <c r="O142" s="16808"/>
      <c r="P142" s="17793"/>
      <c r="Q142" s="16810"/>
      <c r="R142" s="16811"/>
      <c r="S142" s="16812" t="str">
        <f>INDEX(PT_DIFFERENTIATION_NUM_TER,MATCH(B142,PT_DIFFERENTIATION_TER_ID,0))</f>
        <v>1.7</v>
      </c>
      <c r="T142" s="17794" t="s">
        <v>511</v>
      </c>
      <c r="U142" s="16814"/>
      <c r="V142" s="16815"/>
      <c r="W142" s="16816"/>
      <c r="X142" s="16816"/>
      <c r="Y142" s="16816"/>
      <c r="Z142" s="16816"/>
      <c r="AA142" s="16816"/>
      <c r="AB142" s="16817"/>
      <c r="AC142" s="16815" t="str">
        <f>INDEX(PT_DIFFERENTIATION_TER,MATCH(B142,PT_DIFFERENTIATION_TER_ID,0))</f>
        <v>Территория 7</v>
      </c>
      <c r="AD142" s="16816"/>
      <c r="AE142" s="16816"/>
      <c r="AF142" s="16816"/>
      <c r="AG142" s="16816"/>
      <c r="AH142" s="16816"/>
      <c r="AI142" s="16816"/>
      <c r="AJ142" s="16815"/>
      <c r="AK142" s="16816"/>
      <c r="AL142" s="16816"/>
      <c r="AM142" s="16816"/>
      <c r="AN142" s="16816"/>
      <c r="AO142" s="16816"/>
      <c r="AP142" s="16817"/>
      <c r="AQ142" s="16815"/>
      <c r="AR142" s="16816"/>
      <c r="AS142" s="16816"/>
      <c r="AT142" s="16816"/>
      <c r="AU142" s="16816"/>
      <c r="AV142" s="16816"/>
      <c r="AW142" s="16817"/>
      <c r="AX142" s="16815"/>
      <c r="AY142" s="16816"/>
      <c r="AZ142" s="16816"/>
      <c r="BA142" s="16816"/>
      <c r="BB142" s="16816"/>
      <c r="BC142" s="16816"/>
      <c r="BD142" s="16817"/>
      <c r="BE142" s="16815"/>
      <c r="BF142" s="16816"/>
      <c r="BG142" s="16816"/>
      <c r="BH142" s="16816"/>
      <c r="BI142" s="16816"/>
      <c r="BJ142" s="16816"/>
      <c r="BK142" s="16817"/>
      <c r="BL142" s="16817"/>
      <c r="BM142" s="16818" t="s">
        <v>512</v>
      </c>
      <c r="BN142" s="16819"/>
      <c r="BO142" s="16820"/>
      <c r="BP142" s="16820" t="str">
        <f>IF(T142="","",T142)</f>
        <v>Территория действия тарифа</v>
      </c>
      <c r="BQ142" s="16820"/>
      <c r="BR142" s="16820"/>
      <c r="BS142" s="16821">
        <v>0</v>
      </c>
    </row>
    <row s="24670" customFormat="1" customHeight="1" ht="23.25">
      <c r="A143" s="16804"/>
      <c r="B143" s="16804"/>
      <c r="C143" s="16804" t="s">
        <v>306</v>
      </c>
      <c r="D143" s="16804"/>
      <c r="E143" s="16805"/>
      <c r="F143" s="16805" t="s">
        <v>92</v>
      </c>
      <c r="G143" s="16806">
        <v>1</v>
      </c>
      <c r="H143" s="16804"/>
      <c r="I143" s="16804"/>
      <c r="J143" s="16804"/>
      <c r="K143" s="16804"/>
      <c r="L143" s="16807"/>
      <c r="M143" s="16808"/>
      <c r="N143" s="16808"/>
      <c r="O143" s="16808"/>
      <c r="P143" s="16809"/>
      <c r="Q143" s="16810"/>
      <c r="R143" s="16811"/>
      <c r="S143" s="16812" t="str">
        <f>INDEX(PT_DIFFERENTIATION_NUM_CS,MATCH(C143,PT_DIFFERENTIATION_CS_ID,0))</f>
        <v>1.7.1</v>
      </c>
      <c r="T143" s="16813" t="s">
        <v>592</v>
      </c>
      <c r="U143" s="16814"/>
      <c r="V143" s="16815"/>
      <c r="W143" s="16816"/>
      <c r="X143" s="16816"/>
      <c r="Y143" s="16816"/>
      <c r="Z143" s="16816"/>
      <c r="AA143" s="16816"/>
      <c r="AB143" s="16817"/>
      <c r="AC143" s="16815" t="str">
        <f>INDEX(PT_DIFFERENTIATION_CS,MATCH(C143,PT_DIFFERENTIATION_CS_ID,0))</f>
        <v>Новошахтинское ГП</v>
      </c>
      <c r="AD143" s="16816"/>
      <c r="AE143" s="16816"/>
      <c r="AF143" s="16816"/>
      <c r="AG143" s="16816"/>
      <c r="AH143" s="16816"/>
      <c r="AI143" s="16816"/>
      <c r="AJ143" s="16815"/>
      <c r="AK143" s="16816"/>
      <c r="AL143" s="16816"/>
      <c r="AM143" s="16816"/>
      <c r="AN143" s="16816"/>
      <c r="AO143" s="16816"/>
      <c r="AP143" s="16817"/>
      <c r="AQ143" s="16815"/>
      <c r="AR143" s="16816"/>
      <c r="AS143" s="16816"/>
      <c r="AT143" s="16816"/>
      <c r="AU143" s="16816"/>
      <c r="AV143" s="16816"/>
      <c r="AW143" s="16817"/>
      <c r="AX143" s="16815"/>
      <c r="AY143" s="16816"/>
      <c r="AZ143" s="16816"/>
      <c r="BA143" s="16816"/>
      <c r="BB143" s="16816"/>
      <c r="BC143" s="16816"/>
      <c r="BD143" s="16817"/>
      <c r="BE143" s="16815"/>
      <c r="BF143" s="16816"/>
      <c r="BG143" s="16816"/>
      <c r="BH143" s="16816"/>
      <c r="BI143" s="16816"/>
      <c r="BJ143" s="16816"/>
      <c r="BK143" s="16817"/>
      <c r="BL143" s="16817"/>
      <c r="BM143" s="16818" t="s">
        <v>593</v>
      </c>
      <c r="BN143" s="16819"/>
      <c r="BO143" s="16820"/>
      <c r="BP143" s="16820" t="str">
        <f>IF(T143="","",T143)</f>
        <v>Наименование централизованной системы холодного водоснабжения</v>
      </c>
      <c r="BQ143" s="16820"/>
      <c r="BR143" s="16820"/>
      <c r="BS143" s="16821">
        <v>0</v>
      </c>
    </row>
    <row s="24671" customFormat="1" customHeight="1" ht="23.25">
      <c r="A144" s="16804"/>
      <c r="B144" s="16804"/>
      <c r="C144" s="16804"/>
      <c r="D144" s="16804"/>
      <c r="E144" s="16805"/>
      <c r="F144" s="16805" t="s">
        <v>92</v>
      </c>
      <c r="G144" s="16805"/>
      <c r="H144" s="16805"/>
      <c r="I144" s="16823" t="str">
        <f>S143&amp;".1"</f>
        <v>1.7.1.1</v>
      </c>
      <c r="J144" s="16804"/>
      <c r="K144" s="16804"/>
      <c r="L144" s="16807"/>
      <c r="M144" s="16824"/>
      <c r="N144" s="16824"/>
      <c r="O144" s="16824"/>
      <c r="P144" s="16825">
        <v>1</v>
      </c>
      <c r="Q144" s="16825"/>
      <c r="R144" s="16826"/>
      <c r="S144" s="16812" t="str">
        <f>$I144</f>
        <v>1.7.1.1</v>
      </c>
      <c r="T144" s="16827" t="s">
        <v>594</v>
      </c>
      <c r="U144" s="16814"/>
      <c r="V144" s="16828"/>
      <c r="W144" s="16829"/>
      <c r="X144" s="16829"/>
      <c r="Y144" s="16829"/>
      <c r="Z144" s="16829"/>
      <c r="AA144" s="16829"/>
      <c r="AB144" s="16830"/>
      <c r="AC144" s="16831"/>
      <c r="AD144" s="16832"/>
      <c r="AE144" s="16832"/>
      <c r="AF144" s="16832"/>
      <c r="AG144" s="16832"/>
      <c r="AH144" s="16832"/>
      <c r="AI144" s="16832"/>
      <c r="AJ144" s="16828"/>
      <c r="AK144" s="16829"/>
      <c r="AL144" s="16829"/>
      <c r="AM144" s="16829"/>
      <c r="AN144" s="16829"/>
      <c r="AO144" s="16829"/>
      <c r="AP144" s="16830"/>
      <c r="AQ144" s="16828"/>
      <c r="AR144" s="16829"/>
      <c r="AS144" s="16829"/>
      <c r="AT144" s="16829"/>
      <c r="AU144" s="16829"/>
      <c r="AV144" s="16829"/>
      <c r="AW144" s="16830"/>
      <c r="AX144" s="16828"/>
      <c r="AY144" s="16829"/>
      <c r="AZ144" s="16829"/>
      <c r="BA144" s="16829"/>
      <c r="BB144" s="16829"/>
      <c r="BC144" s="16829"/>
      <c r="BD144" s="16830"/>
      <c r="BE144" s="16828"/>
      <c r="BF144" s="16829"/>
      <c r="BG144" s="16829"/>
      <c r="BH144" s="16829"/>
      <c r="BI144" s="16829"/>
      <c r="BJ144" s="16829"/>
      <c r="BK144" s="16830"/>
      <c r="BL144" s="16833"/>
      <c r="BM144" s="16818" t="s">
        <v>595</v>
      </c>
      <c r="BN144" s="16819"/>
      <c r="BO144" s="16820"/>
      <c r="BP144" s="16820" t="str">
        <f>IF(T144="","",T144)</f>
        <v>Наименование признака дифференциации</v>
      </c>
      <c r="BQ144" s="16820"/>
      <c r="BR144" s="16820"/>
      <c r="BS144" s="16821">
        <v>0</v>
      </c>
    </row>
    <row s="24672" customFormat="1" customHeight="1" ht="23.25">
      <c r="A145" s="16804"/>
      <c r="B145" s="16804"/>
      <c r="C145" s="16804"/>
      <c r="D145" s="16804"/>
      <c r="E145" s="16805"/>
      <c r="F145" s="16805" t="s">
        <v>92</v>
      </c>
      <c r="G145" s="16805"/>
      <c r="H145" s="16805"/>
      <c r="I145" s="16835"/>
      <c r="J145" s="16823" t="str">
        <f>I144&amp;".1"</f>
        <v>1.7.1.1.1</v>
      </c>
      <c r="K145" s="16804"/>
      <c r="L145" s="16807" t="s">
        <v>520</v>
      </c>
      <c r="M145" s="16824"/>
      <c r="N145" s="16824"/>
      <c r="O145" s="16824"/>
      <c r="P145" s="16825"/>
      <c r="Q145" s="16825">
        <v>1</v>
      </c>
      <c r="R145" s="16836"/>
      <c r="S145" s="16812" t="str">
        <f>$J145</f>
        <v>1.7.1.1.1</v>
      </c>
      <c r="T145" s="16837" t="s">
        <v>521</v>
      </c>
      <c r="U145" s="16814"/>
      <c r="V145" s="16838"/>
      <c r="W145" s="16839"/>
      <c r="X145" s="16839"/>
      <c r="Y145" s="16839"/>
      <c r="Z145" s="16839"/>
      <c r="AA145" s="16839"/>
      <c r="AB145" s="16840"/>
      <c r="AC145" s="16838" t="s">
        <v>607</v>
      </c>
      <c r="AD145" s="16839"/>
      <c r="AE145" s="16839"/>
      <c r="AF145" s="16839"/>
      <c r="AG145" s="16839"/>
      <c r="AH145" s="16839"/>
      <c r="AI145" s="16839"/>
      <c r="AJ145" s="16838"/>
      <c r="AK145" s="16839"/>
      <c r="AL145" s="16839"/>
      <c r="AM145" s="16839"/>
      <c r="AN145" s="16839"/>
      <c r="AO145" s="16839"/>
      <c r="AP145" s="16840"/>
      <c r="AQ145" s="16838"/>
      <c r="AR145" s="16839"/>
      <c r="AS145" s="16839"/>
      <c r="AT145" s="16839"/>
      <c r="AU145" s="16839"/>
      <c r="AV145" s="16839"/>
      <c r="AW145" s="16840"/>
      <c r="AX145" s="16838"/>
      <c r="AY145" s="16839"/>
      <c r="AZ145" s="16839"/>
      <c r="BA145" s="16839"/>
      <c r="BB145" s="16839"/>
      <c r="BC145" s="16839"/>
      <c r="BD145" s="16840"/>
      <c r="BE145" s="16838"/>
      <c r="BF145" s="16839"/>
      <c r="BG145" s="16839"/>
      <c r="BH145" s="16839"/>
      <c r="BI145" s="16839"/>
      <c r="BJ145" s="16839"/>
      <c r="BK145" s="16840"/>
      <c r="BL145" s="16840"/>
      <c r="BM145" s="16841" t="s">
        <v>596</v>
      </c>
      <c r="BN145" s="16819"/>
      <c r="BO145" s="16820"/>
      <c r="BP145" s="16820" t="str">
        <f>IF(T145="","",T145)</f>
        <v>Группа потребителей</v>
      </c>
      <c r="BQ145" s="16820"/>
      <c r="BR145" s="16820"/>
      <c r="BS145" s="16821">
        <v>0</v>
      </c>
    </row>
    <row s="24673" customFormat="1" customHeight="1" ht="23.25">
      <c r="A146" s="16804"/>
      <c r="B146" s="16804"/>
      <c r="C146" s="16804"/>
      <c r="D146" s="16804"/>
      <c r="E146" s="16805"/>
      <c r="F146" s="16805" t="s">
        <v>92</v>
      </c>
      <c r="G146" s="16805"/>
      <c r="H146" s="16805"/>
      <c r="I146" s="16835"/>
      <c r="J146" s="16835"/>
      <c r="K146" s="16823" t="str">
        <f>J145&amp;".1"</f>
        <v>1.7.1.1.1.1</v>
      </c>
      <c r="L146" s="16807"/>
      <c r="M146" s="16824"/>
      <c r="N146" s="16824"/>
      <c r="O146" s="16824"/>
      <c r="P146" s="16825"/>
      <c r="Q146" s="16825"/>
      <c r="R146" s="16836">
        <v>1</v>
      </c>
      <c r="S146" s="16812" t="str">
        <f>$K146</f>
        <v>1.7.1.1.1.1</v>
      </c>
      <c r="T146" s="16843" t="s">
        <v>590</v>
      </c>
      <c r="U146" s="16814"/>
      <c r="V146" s="16708"/>
      <c r="W146" s="16708"/>
      <c r="X146" s="16709"/>
      <c r="Y146" s="16710"/>
      <c r="Z146" s="16711" t="s">
        <v>66</v>
      </c>
      <c r="AA146" s="16710"/>
      <c r="AB146" s="16711" t="s">
        <v>66</v>
      </c>
      <c r="AC146" s="16844">
        <v>65.2</v>
      </c>
      <c r="AD146" s="16844"/>
      <c r="AE146" s="16845"/>
      <c r="AF146" s="16846">
        <v>45658.48824074074</v>
      </c>
      <c r="AG146" s="16847" t="s">
        <v>66</v>
      </c>
      <c r="AH146" s="16712">
        <v>46022.488333333335</v>
      </c>
      <c r="AI146" s="16847" t="s">
        <v>66</v>
      </c>
      <c r="AJ146" s="16844">
        <v>61.5</v>
      </c>
      <c r="AK146" s="16844"/>
      <c r="AL146" s="16845"/>
      <c r="AM146" s="16846">
        <v>46023.49521990741</v>
      </c>
      <c r="AN146" s="16847" t="s">
        <v>66</v>
      </c>
      <c r="AO146" s="16846">
        <v>46387.4953125</v>
      </c>
      <c r="AP146" s="16847" t="s">
        <v>66</v>
      </c>
      <c r="AQ146" s="16844">
        <v>63.25</v>
      </c>
      <c r="AR146" s="16844"/>
      <c r="AS146" s="16845"/>
      <c r="AT146" s="16846">
        <v>46388.505474537036</v>
      </c>
      <c r="AU146" s="16847" t="s">
        <v>66</v>
      </c>
      <c r="AV146" s="16846">
        <v>46752.50560185185</v>
      </c>
      <c r="AW146" s="16847" t="s">
        <v>66</v>
      </c>
      <c r="AX146" s="16844">
        <v>65.05</v>
      </c>
      <c r="AY146" s="16844"/>
      <c r="AZ146" s="16845"/>
      <c r="BA146" s="16846">
        <v>46753.505740740744</v>
      </c>
      <c r="BB146" s="16847" t="s">
        <v>66</v>
      </c>
      <c r="BC146" s="16846">
        <v>47118.50586805555</v>
      </c>
      <c r="BD146" s="16847" t="s">
        <v>19</v>
      </c>
      <c r="BE146" s="16708"/>
      <c r="BF146" s="16708"/>
      <c r="BG146" s="16709"/>
      <c r="BH146" s="16710"/>
      <c r="BI146" s="16711" t="s">
        <v>66</v>
      </c>
      <c r="BJ146" s="16710"/>
      <c r="BK146" s="16711" t="s">
        <v>66</v>
      </c>
      <c r="BL146" s="16848"/>
      <c r="BM14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46" s="16819">
        <f>STRCHECKDATE(V147:BL147)</f>
      </c>
      <c r="BO146" s="16820"/>
      <c r="BP146" s="16820" t="str">
        <f>IF(T146="","",T146)</f>
        <v>без НДС</v>
      </c>
      <c r="BQ146" s="16820"/>
      <c r="BR146" s="16820"/>
      <c r="BS146" s="16821">
        <v>0</v>
      </c>
    </row>
    <row s="24674" customFormat="1" customHeight="1" ht="14.25">
      <c r="A147" s="16804"/>
      <c r="B147" s="16804"/>
      <c r="C147" s="16804"/>
      <c r="D147" s="16804"/>
      <c r="E147" s="16805"/>
      <c r="F147" s="16805" t="s">
        <v>92</v>
      </c>
      <c r="G147" s="16805"/>
      <c r="H147" s="16805"/>
      <c r="I147" s="16835"/>
      <c r="J147" s="16835"/>
      <c r="K147" s="16823"/>
      <c r="L147" s="16807"/>
      <c r="M147" s="16824"/>
      <c r="N147" s="16824"/>
      <c r="O147" s="16824"/>
      <c r="P147" s="16825"/>
      <c r="Q147" s="16825"/>
      <c r="R147" s="16836"/>
      <c r="S147" s="16851"/>
      <c r="T147" s="16814"/>
      <c r="U147" s="16814"/>
      <c r="V147" s="16708"/>
      <c r="W147" s="16708"/>
      <c r="X147" s="16716" t="str">
        <f>Y146&amp;"-"&amp;AA146</f>
        <v>-</v>
      </c>
      <c r="Y147" s="16711"/>
      <c r="Z147" s="16711"/>
      <c r="AA147" s="16711"/>
      <c r="AB147" s="16711"/>
      <c r="AC147" s="16852"/>
      <c r="AD147" s="16852"/>
      <c r="AE147" s="16716" t="str">
        <f>AF146&amp;"-"&amp;AH146</f>
        <v>45658.48824074074-46022.488333333335</v>
      </c>
      <c r="AF147" s="16853"/>
      <c r="AG147" s="16847"/>
      <c r="AH147" s="16854"/>
      <c r="AI147" s="16847"/>
      <c r="AJ147" s="16852"/>
      <c r="AK147" s="16852"/>
      <c r="AL147" s="16716" t="str">
        <f>AM146&amp;"-"&amp;AO146</f>
        <v>46023.49521990741-46387.4953125</v>
      </c>
      <c r="AM147" s="16853"/>
      <c r="AN147" s="16847"/>
      <c r="AO147" s="16853"/>
      <c r="AP147" s="16847"/>
      <c r="AQ147" s="16852"/>
      <c r="AR147" s="16852"/>
      <c r="AS147" s="16716" t="str">
        <f>AT146&amp;"-"&amp;AV146</f>
        <v>46388.505474537036-46752.50560185185</v>
      </c>
      <c r="AT147" s="16853"/>
      <c r="AU147" s="16847"/>
      <c r="AV147" s="16853"/>
      <c r="AW147" s="16847"/>
      <c r="AX147" s="16852"/>
      <c r="AY147" s="16852"/>
      <c r="AZ147" s="16716" t="str">
        <f>BA146&amp;"-"&amp;BC146</f>
        <v>46753.505740740744-47118.50586805555</v>
      </c>
      <c r="BA147" s="16853"/>
      <c r="BB147" s="16847"/>
      <c r="BC147" s="16853"/>
      <c r="BD147" s="16847"/>
      <c r="BE147" s="16708"/>
      <c r="BF147" s="16708"/>
      <c r="BG147" s="16716" t="str">
        <f>BH146&amp;"-"&amp;BJ146</f>
        <v>-</v>
      </c>
      <c r="BH147" s="16711"/>
      <c r="BI147" s="16711"/>
      <c r="BJ147" s="16711"/>
      <c r="BK147" s="16711"/>
      <c r="BL147" s="16855"/>
      <c r="BM147" s="16849"/>
      <c r="BN147" s="16819"/>
      <c r="BO147" s="16820"/>
      <c r="BP147" s="16820" t="str">
        <f>IF(T147="","",T147)</f>
        <v/>
      </c>
      <c r="BQ147" s="16820"/>
      <c r="BR147" s="16820"/>
      <c r="BS147" s="16821">
        <v>0</v>
      </c>
    </row>
    <row s="24675" customFormat="1" customHeight="1" ht="21">
      <c r="A148" s="16804"/>
      <c r="B148" s="16804"/>
      <c r="C148" s="16804"/>
      <c r="D148" s="16804"/>
      <c r="E148" s="16805"/>
      <c r="F148" s="16805" t="s">
        <v>92</v>
      </c>
      <c r="G148" s="16805"/>
      <c r="H148" s="16805"/>
      <c r="I148" s="16835"/>
      <c r="J148" s="16823"/>
      <c r="K148" s="16804"/>
      <c r="L148" s="16807"/>
      <c r="M148" s="16824"/>
      <c r="N148" s="16824"/>
      <c r="O148" s="16824"/>
      <c r="P148" s="16825"/>
      <c r="Q148" s="16825"/>
      <c r="R148" s="16826"/>
      <c r="S148" s="18409"/>
      <c r="T148" s="18410" t="s">
        <v>597</v>
      </c>
      <c r="U148" s="18411"/>
      <c r="V148" s="18412"/>
      <c r="W148" s="18413"/>
      <c r="X148" s="18414"/>
      <c r="Y148" s="18415"/>
      <c r="Z148" s="18416"/>
      <c r="AA148" s="18417"/>
      <c r="AB148" s="18418"/>
      <c r="AC148" s="18419"/>
      <c r="AD148" s="18420"/>
      <c r="AE148" s="18421"/>
      <c r="AF148" s="18422"/>
      <c r="AG148" s="18423"/>
      <c r="AH148" s="18424"/>
      <c r="AI148" s="18425"/>
      <c r="AJ148" s="18426"/>
      <c r="AK148" s="18427"/>
      <c r="AL148" s="18428"/>
      <c r="AM148" s="18429"/>
      <c r="AN148" s="18430"/>
      <c r="AO148" s="18431"/>
      <c r="AP148" s="18432"/>
      <c r="AQ148" s="18433"/>
      <c r="AR148" s="18434"/>
      <c r="AS148" s="18435"/>
      <c r="AT148" s="18436"/>
      <c r="AU148" s="18437"/>
      <c r="AV148" s="18438"/>
      <c r="AW148" s="18439"/>
      <c r="AX148" s="18440"/>
      <c r="AY148" s="18441"/>
      <c r="AZ148" s="18442"/>
      <c r="BA148" s="18443"/>
      <c r="BB148" s="18444"/>
      <c r="BC148" s="18445"/>
      <c r="BD148" s="18446"/>
      <c r="BE148" s="18447"/>
      <c r="BF148" s="18448"/>
      <c r="BG148" s="18449"/>
      <c r="BH148" s="18450"/>
      <c r="BI148" s="18451"/>
      <c r="BJ148" s="18452"/>
      <c r="BK148" s="18453"/>
      <c r="BL148" s="18454"/>
      <c r="BM148" s="16818" t="s">
        <v>598</v>
      </c>
      <c r="BN148" s="16819"/>
      <c r="BO148" s="16820"/>
      <c r="BP148" s="16820" t="str">
        <f>IF(T148="","",T148)</f>
        <v>Добавить значение признака дифференциации</v>
      </c>
      <c r="BQ148" s="16820"/>
      <c r="BR148" s="16820"/>
      <c r="BS148" s="16821">
        <v>0</v>
      </c>
    </row>
    <row s="24722" customFormat="1" customHeight="1" ht="21">
      <c r="A149" s="16804"/>
      <c r="B149" s="16804"/>
      <c r="C149" s="16804"/>
      <c r="D149" s="16804"/>
      <c r="E149" s="16805"/>
      <c r="F149" s="16805" t="s">
        <v>92</v>
      </c>
      <c r="G149" s="16805"/>
      <c r="H149" s="16805"/>
      <c r="I149" s="16823"/>
      <c r="J149" s="16804"/>
      <c r="K149" s="16804"/>
      <c r="L149" s="16807"/>
      <c r="M149" s="16824"/>
      <c r="N149" s="16824"/>
      <c r="O149" s="16824"/>
      <c r="P149" s="16825"/>
      <c r="Q149" s="16825"/>
      <c r="R149" s="16826"/>
      <c r="S149" s="18456"/>
      <c r="T149" s="18457" t="s">
        <v>526</v>
      </c>
      <c r="U149" s="18458"/>
      <c r="V149" s="18459"/>
      <c r="W149" s="18460"/>
      <c r="X149" s="18461"/>
      <c r="Y149" s="18462"/>
      <c r="Z149" s="18463"/>
      <c r="AA149" s="18464"/>
      <c r="AB149" s="18465"/>
      <c r="AC149" s="18466"/>
      <c r="AD149" s="18467"/>
      <c r="AE149" s="18468"/>
      <c r="AF149" s="18469"/>
      <c r="AG149" s="18470"/>
      <c r="AH149" s="18471"/>
      <c r="AI149" s="18472"/>
      <c r="AJ149" s="18473"/>
      <c r="AK149" s="18474"/>
      <c r="AL149" s="18475"/>
      <c r="AM149" s="18476"/>
      <c r="AN149" s="18477"/>
      <c r="AO149" s="18478"/>
      <c r="AP149" s="18479"/>
      <c r="AQ149" s="18480"/>
      <c r="AR149" s="18481"/>
      <c r="AS149" s="18482"/>
      <c r="AT149" s="18483"/>
      <c r="AU149" s="18484"/>
      <c r="AV149" s="18485"/>
      <c r="AW149" s="18486"/>
      <c r="AX149" s="18487"/>
      <c r="AY149" s="18488"/>
      <c r="AZ149" s="18489"/>
      <c r="BA149" s="18490"/>
      <c r="BB149" s="18491"/>
      <c r="BC149" s="18492"/>
      <c r="BD149" s="18493"/>
      <c r="BE149" s="18494"/>
      <c r="BF149" s="18495"/>
      <c r="BG149" s="18496"/>
      <c r="BH149" s="18497"/>
      <c r="BI149" s="18498"/>
      <c r="BJ149" s="18499"/>
      <c r="BK149" s="18500"/>
      <c r="BL149" s="18501"/>
      <c r="BM149" s="18502"/>
      <c r="BN149" s="16819"/>
      <c r="BO149" s="16820"/>
      <c r="BP149" s="16820" t="str">
        <f>IF(T149="","",T149)</f>
        <v>Добавить группу потребителей</v>
      </c>
      <c r="BQ149" s="16820"/>
      <c r="BR149" s="16820"/>
      <c r="BS149" s="16821">
        <v>0</v>
      </c>
    </row>
    <row s="24770" customFormat="1" customHeight="1" ht="14.25">
      <c r="A150" s="16804"/>
      <c r="B150" s="16804"/>
      <c r="C150" s="16804"/>
      <c r="D150" s="16804"/>
      <c r="E150" s="16805"/>
      <c r="F150" s="16805" t="s">
        <v>92</v>
      </c>
      <c r="G150" s="16805"/>
      <c r="H150" s="16806"/>
      <c r="I150" s="16804"/>
      <c r="J150" s="16804"/>
      <c r="K150" s="16804"/>
      <c r="L150" s="16807"/>
      <c r="M150" s="16808"/>
      <c r="N150" s="16808"/>
      <c r="O150" s="16952"/>
      <c r="P150" s="16953"/>
      <c r="Q150" s="16954"/>
      <c r="R150" s="16955"/>
      <c r="S150" s="18504"/>
      <c r="T150" s="18505" t="s">
        <v>599</v>
      </c>
      <c r="U150" s="18506"/>
      <c r="V150" s="18507"/>
      <c r="W150" s="18508"/>
      <c r="X150" s="18509"/>
      <c r="Y150" s="18510"/>
      <c r="Z150" s="18511"/>
      <c r="AA150" s="18512"/>
      <c r="AB150" s="18513"/>
      <c r="AC150" s="18514"/>
      <c r="AD150" s="18515"/>
      <c r="AE150" s="18516"/>
      <c r="AF150" s="18517"/>
      <c r="AG150" s="18518"/>
      <c r="AH150" s="18519"/>
      <c r="AI150" s="18520"/>
      <c r="AJ150" s="18521"/>
      <c r="AK150" s="18522"/>
      <c r="AL150" s="18523"/>
      <c r="AM150" s="18524"/>
      <c r="AN150" s="18525"/>
      <c r="AO150" s="18526"/>
      <c r="AP150" s="18527"/>
      <c r="AQ150" s="18528"/>
      <c r="AR150" s="18529"/>
      <c r="AS150" s="18530"/>
      <c r="AT150" s="18531"/>
      <c r="AU150" s="18532"/>
      <c r="AV150" s="18533"/>
      <c r="AW150" s="18534"/>
      <c r="AX150" s="18535"/>
      <c r="AY150" s="18536"/>
      <c r="AZ150" s="18537"/>
      <c r="BA150" s="18538"/>
      <c r="BB150" s="18539"/>
      <c r="BC150" s="18540"/>
      <c r="BD150" s="18541"/>
      <c r="BE150" s="18542"/>
      <c r="BF150" s="18543"/>
      <c r="BG150" s="18544"/>
      <c r="BH150" s="18545"/>
      <c r="BI150" s="18546"/>
      <c r="BJ150" s="18547"/>
      <c r="BK150" s="18548"/>
      <c r="BL150" s="18549"/>
      <c r="BM150" s="18550"/>
      <c r="BN150" s="16819"/>
      <c r="BO150" s="16820"/>
      <c r="BP150" s="16820" t="str">
        <f>IF(T150="","",T150)</f>
        <v>Добавить наименование признака дифференциации</v>
      </c>
      <c r="BQ150" s="16820"/>
      <c r="BR150" s="16820"/>
      <c r="BS150" s="16821">
        <v>0</v>
      </c>
    </row>
    <row s="24818" customFormat="1" customHeight="1" ht="14.25">
      <c r="A151" s="17944"/>
      <c r="B151" s="17944"/>
      <c r="C151" s="17944"/>
      <c r="D151" s="17944"/>
      <c r="E151" s="16805"/>
      <c r="F151" s="16806" t="s">
        <v>92</v>
      </c>
      <c r="G151" s="17944"/>
      <c r="H151" s="17944"/>
      <c r="I151" s="17944"/>
      <c r="J151" s="17944"/>
      <c r="K151" s="17944"/>
      <c r="L151" s="17945"/>
      <c r="M151" s="17946"/>
      <c r="N151" s="17946"/>
      <c r="O151" s="16819"/>
      <c r="P151" s="17947"/>
      <c r="Q151" s="17948"/>
      <c r="R151" s="17947"/>
      <c r="S151" s="17949"/>
      <c r="T151" s="17950" t="s">
        <v>280</v>
      </c>
      <c r="U151" s="17951"/>
      <c r="V151" s="17951"/>
      <c r="W151" s="17951"/>
      <c r="X151" s="17951"/>
      <c r="Y151" s="17951"/>
      <c r="Z151" s="17951"/>
      <c r="AA151" s="17951"/>
      <c r="AB151" s="17951"/>
      <c r="AC151" s="17951"/>
      <c r="AD151" s="17951"/>
      <c r="AE151" s="17951"/>
      <c r="AF151" s="17951"/>
      <c r="AG151" s="17951"/>
      <c r="AH151" s="17951"/>
      <c r="AI151" s="17951"/>
      <c r="AJ151" s="17951"/>
      <c r="AK151" s="17951"/>
      <c r="AL151" s="17951"/>
      <c r="AM151" s="17951"/>
      <c r="AN151" s="17951"/>
      <c r="AO151" s="17951"/>
      <c r="AP151" s="17951"/>
      <c r="AQ151" s="17951"/>
      <c r="AR151" s="17951"/>
      <c r="AS151" s="17951"/>
      <c r="AT151" s="17951"/>
      <c r="AU151" s="17951"/>
      <c r="AV151" s="17951"/>
      <c r="AW151" s="17951"/>
      <c r="AX151" s="17951"/>
      <c r="AY151" s="17951"/>
      <c r="AZ151" s="17951"/>
      <c r="BA151" s="17951"/>
      <c r="BB151" s="17951"/>
      <c r="BC151" s="17951"/>
      <c r="BD151" s="17951"/>
      <c r="BE151" s="17951"/>
      <c r="BF151" s="17951"/>
      <c r="BG151" s="17951"/>
      <c r="BH151" s="17951"/>
      <c r="BI151" s="17951"/>
      <c r="BJ151" s="17951"/>
      <c r="BK151" s="17951"/>
      <c r="BL151" s="17951"/>
      <c r="BM151" s="17951"/>
      <c r="BN151" s="16819"/>
      <c r="BO151" s="16820"/>
      <c r="BP151" s="16820" t="str">
        <f>IF(T151="","",T151)</f>
        <v>Добавить централизованную систему для дифференциации</v>
      </c>
      <c r="BQ151" s="16820"/>
      <c r="BR151" s="16820"/>
      <c r="BS151" s="16819">
        <v>0</v>
      </c>
    </row>
    <row s="24819" customFormat="1" customHeight="1" ht="23.25">
      <c r="A152" s="16804"/>
      <c r="B152" s="16804" t="s">
        <v>309</v>
      </c>
      <c r="C152" s="16804"/>
      <c r="D152" s="16804"/>
      <c r="E152" s="16805"/>
      <c r="F152" s="16806" t="s">
        <v>129</v>
      </c>
      <c r="G152" s="16804"/>
      <c r="H152" s="16804"/>
      <c r="I152" s="16804"/>
      <c r="J152" s="16804"/>
      <c r="K152" s="16804"/>
      <c r="L152" s="16807"/>
      <c r="M152" s="16808"/>
      <c r="N152" s="16808"/>
      <c r="O152" s="16808"/>
      <c r="P152" s="17793"/>
      <c r="Q152" s="16810"/>
      <c r="R152" s="16811"/>
      <c r="S152" s="16812" t="str">
        <f>INDEX(PT_DIFFERENTIATION_NUM_TER,MATCH(B152,PT_DIFFERENTIATION_TER_ID,0))</f>
        <v>1.8</v>
      </c>
      <c r="T152" s="17794" t="s">
        <v>511</v>
      </c>
      <c r="U152" s="16814"/>
      <c r="V152" s="16815"/>
      <c r="W152" s="16816"/>
      <c r="X152" s="16816"/>
      <c r="Y152" s="16816"/>
      <c r="Z152" s="16816"/>
      <c r="AA152" s="16816"/>
      <c r="AB152" s="16817"/>
      <c r="AC152" s="16815" t="str">
        <f>INDEX(PT_DIFFERENTIATION_TER,MATCH(B152,PT_DIFFERENTIATION_TER_ID,0))</f>
        <v>Территория 8</v>
      </c>
      <c r="AD152" s="16816"/>
      <c r="AE152" s="16816"/>
      <c r="AF152" s="16816"/>
      <c r="AG152" s="16816"/>
      <c r="AH152" s="16816"/>
      <c r="AI152" s="16816"/>
      <c r="AJ152" s="16815"/>
      <c r="AK152" s="16816"/>
      <c r="AL152" s="16816"/>
      <c r="AM152" s="16816"/>
      <c r="AN152" s="16816"/>
      <c r="AO152" s="16816"/>
      <c r="AP152" s="16817"/>
      <c r="AQ152" s="16815"/>
      <c r="AR152" s="16816"/>
      <c r="AS152" s="16816"/>
      <c r="AT152" s="16816"/>
      <c r="AU152" s="16816"/>
      <c r="AV152" s="16816"/>
      <c r="AW152" s="16817"/>
      <c r="AX152" s="16815"/>
      <c r="AY152" s="16816"/>
      <c r="AZ152" s="16816"/>
      <c r="BA152" s="16816"/>
      <c r="BB152" s="16816"/>
      <c r="BC152" s="16816"/>
      <c r="BD152" s="16817"/>
      <c r="BE152" s="16815"/>
      <c r="BF152" s="16816"/>
      <c r="BG152" s="16816"/>
      <c r="BH152" s="16816"/>
      <c r="BI152" s="16816"/>
      <c r="BJ152" s="16816"/>
      <c r="BK152" s="16817"/>
      <c r="BL152" s="16817"/>
      <c r="BM152" s="16818" t="s">
        <v>512</v>
      </c>
      <c r="BN152" s="16819"/>
      <c r="BO152" s="16820"/>
      <c r="BP152" s="16820" t="str">
        <f>IF(T152="","",T152)</f>
        <v>Территория действия тарифа</v>
      </c>
      <c r="BQ152" s="16820"/>
      <c r="BR152" s="16820"/>
      <c r="BS152" s="16821">
        <v>0</v>
      </c>
    </row>
    <row s="24820" customFormat="1" customHeight="1" ht="23.25">
      <c r="A153" s="16804"/>
      <c r="B153" s="16804"/>
      <c r="C153" s="16804" t="s">
        <v>310</v>
      </c>
      <c r="D153" s="16804"/>
      <c r="E153" s="16805"/>
      <c r="F153" s="16805" t="s">
        <v>93</v>
      </c>
      <c r="G153" s="16806">
        <v>1</v>
      </c>
      <c r="H153" s="16804"/>
      <c r="I153" s="16804"/>
      <c r="J153" s="16804"/>
      <c r="K153" s="16804"/>
      <c r="L153" s="16807"/>
      <c r="M153" s="16808"/>
      <c r="N153" s="16808"/>
      <c r="O153" s="16808"/>
      <c r="P153" s="16809"/>
      <c r="Q153" s="16810"/>
      <c r="R153" s="16811"/>
      <c r="S153" s="16812" t="str">
        <f>INDEX(PT_DIFFERENTIATION_NUM_CS,MATCH(C153,PT_DIFFERENTIATION_CS_ID,0))</f>
        <v>1.8.1</v>
      </c>
      <c r="T153" s="16813" t="s">
        <v>592</v>
      </c>
      <c r="U153" s="16814"/>
      <c r="V153" s="16815"/>
      <c r="W153" s="16816"/>
      <c r="X153" s="16816"/>
      <c r="Y153" s="16816"/>
      <c r="Z153" s="16816"/>
      <c r="AA153" s="16816"/>
      <c r="AB153" s="16817"/>
      <c r="AC153" s="16815" t="str">
        <f>INDEX(PT_DIFFERENTIATION_CS,MATCH(C153,PT_DIFFERENTIATION_CS_ID,0))</f>
        <v>пгт. Путятин</v>
      </c>
      <c r="AD153" s="16816"/>
      <c r="AE153" s="16816"/>
      <c r="AF153" s="16816"/>
      <c r="AG153" s="16816"/>
      <c r="AH153" s="16816"/>
      <c r="AI153" s="16816"/>
      <c r="AJ153" s="16815"/>
      <c r="AK153" s="16816"/>
      <c r="AL153" s="16816"/>
      <c r="AM153" s="16816"/>
      <c r="AN153" s="16816"/>
      <c r="AO153" s="16816"/>
      <c r="AP153" s="16817"/>
      <c r="AQ153" s="16815"/>
      <c r="AR153" s="16816"/>
      <c r="AS153" s="16816"/>
      <c r="AT153" s="16816"/>
      <c r="AU153" s="16816"/>
      <c r="AV153" s="16816"/>
      <c r="AW153" s="16817"/>
      <c r="AX153" s="16815"/>
      <c r="AY153" s="16816"/>
      <c r="AZ153" s="16816"/>
      <c r="BA153" s="16816"/>
      <c r="BB153" s="16816"/>
      <c r="BC153" s="16816"/>
      <c r="BD153" s="16817"/>
      <c r="BE153" s="16815"/>
      <c r="BF153" s="16816"/>
      <c r="BG153" s="16816"/>
      <c r="BH153" s="16816"/>
      <c r="BI153" s="16816"/>
      <c r="BJ153" s="16816"/>
      <c r="BK153" s="16817"/>
      <c r="BL153" s="16817"/>
      <c r="BM153" s="16818" t="s">
        <v>593</v>
      </c>
      <c r="BN153" s="16819"/>
      <c r="BO153" s="16820"/>
      <c r="BP153" s="16820" t="str">
        <f>IF(T153="","",T153)</f>
        <v>Наименование централизованной системы холодного водоснабжения</v>
      </c>
      <c r="BQ153" s="16820"/>
      <c r="BR153" s="16820"/>
      <c r="BS153" s="16821">
        <v>0</v>
      </c>
    </row>
    <row s="24821" customFormat="1" customHeight="1" ht="23.25">
      <c r="A154" s="16804"/>
      <c r="B154" s="16804"/>
      <c r="C154" s="16804"/>
      <c r="D154" s="16804"/>
      <c r="E154" s="16805"/>
      <c r="F154" s="16805" t="s">
        <v>93</v>
      </c>
      <c r="G154" s="16805"/>
      <c r="H154" s="16805"/>
      <c r="I154" s="16823" t="str">
        <f>S153&amp;".1"</f>
        <v>1.8.1.1</v>
      </c>
      <c r="J154" s="16804"/>
      <c r="K154" s="16804"/>
      <c r="L154" s="16807"/>
      <c r="M154" s="16824"/>
      <c r="N154" s="16824"/>
      <c r="O154" s="16824"/>
      <c r="P154" s="16825">
        <v>1</v>
      </c>
      <c r="Q154" s="16825"/>
      <c r="R154" s="16826"/>
      <c r="S154" s="16812" t="str">
        <f>$I154</f>
        <v>1.8.1.1</v>
      </c>
      <c r="T154" s="16827" t="s">
        <v>594</v>
      </c>
      <c r="U154" s="16814"/>
      <c r="V154" s="16828"/>
      <c r="W154" s="16829"/>
      <c r="X154" s="16829"/>
      <c r="Y154" s="16829"/>
      <c r="Z154" s="16829"/>
      <c r="AA154" s="16829"/>
      <c r="AB154" s="16830"/>
      <c r="AC154" s="16831"/>
      <c r="AD154" s="16832"/>
      <c r="AE154" s="16832"/>
      <c r="AF154" s="16832"/>
      <c r="AG154" s="16832"/>
      <c r="AH154" s="16832"/>
      <c r="AI154" s="16832"/>
      <c r="AJ154" s="16828"/>
      <c r="AK154" s="16829"/>
      <c r="AL154" s="16829"/>
      <c r="AM154" s="16829"/>
      <c r="AN154" s="16829"/>
      <c r="AO154" s="16829"/>
      <c r="AP154" s="16830"/>
      <c r="AQ154" s="16828"/>
      <c r="AR154" s="16829"/>
      <c r="AS154" s="16829"/>
      <c r="AT154" s="16829"/>
      <c r="AU154" s="16829"/>
      <c r="AV154" s="16829"/>
      <c r="AW154" s="16830"/>
      <c r="AX154" s="16828"/>
      <c r="AY154" s="16829"/>
      <c r="AZ154" s="16829"/>
      <c r="BA154" s="16829"/>
      <c r="BB154" s="16829"/>
      <c r="BC154" s="16829"/>
      <c r="BD154" s="16830"/>
      <c r="BE154" s="16828"/>
      <c r="BF154" s="16829"/>
      <c r="BG154" s="16829"/>
      <c r="BH154" s="16829"/>
      <c r="BI154" s="16829"/>
      <c r="BJ154" s="16829"/>
      <c r="BK154" s="16830"/>
      <c r="BL154" s="16833"/>
      <c r="BM154" s="16818" t="s">
        <v>595</v>
      </c>
      <c r="BN154" s="16819"/>
      <c r="BO154" s="16820"/>
      <c r="BP154" s="16820" t="str">
        <f>IF(T154="","",T154)</f>
        <v>Наименование признака дифференциации</v>
      </c>
      <c r="BQ154" s="16820"/>
      <c r="BR154" s="16820"/>
      <c r="BS154" s="16821">
        <v>0</v>
      </c>
    </row>
    <row s="24822" customFormat="1" customHeight="1" ht="23.25">
      <c r="A155" s="16804"/>
      <c r="B155" s="16804"/>
      <c r="C155" s="16804"/>
      <c r="D155" s="16804"/>
      <c r="E155" s="16805"/>
      <c r="F155" s="16805" t="s">
        <v>93</v>
      </c>
      <c r="G155" s="16805"/>
      <c r="H155" s="16805"/>
      <c r="I155" s="16835"/>
      <c r="J155" s="16823" t="str">
        <f>I154&amp;".1"</f>
        <v>1.8.1.1.1</v>
      </c>
      <c r="K155" s="16804"/>
      <c r="L155" s="16807" t="s">
        <v>520</v>
      </c>
      <c r="M155" s="16824"/>
      <c r="N155" s="16824"/>
      <c r="O155" s="16824"/>
      <c r="P155" s="16825"/>
      <c r="Q155" s="16825">
        <v>1</v>
      </c>
      <c r="R155" s="16836"/>
      <c r="S155" s="16812" t="str">
        <f>$J155</f>
        <v>1.8.1.1.1</v>
      </c>
      <c r="T155" s="16837" t="s">
        <v>521</v>
      </c>
      <c r="U155" s="16814"/>
      <c r="V155" s="16838"/>
      <c r="W155" s="16839"/>
      <c r="X155" s="16839"/>
      <c r="Y155" s="16839"/>
      <c r="Z155" s="16839"/>
      <c r="AA155" s="16839"/>
      <c r="AB155" s="16840"/>
      <c r="AC155" s="16838" t="s">
        <v>607</v>
      </c>
      <c r="AD155" s="16839"/>
      <c r="AE155" s="16839"/>
      <c r="AF155" s="16839"/>
      <c r="AG155" s="16839"/>
      <c r="AH155" s="16839"/>
      <c r="AI155" s="16839"/>
      <c r="AJ155" s="16838"/>
      <c r="AK155" s="16839"/>
      <c r="AL155" s="16839"/>
      <c r="AM155" s="16839"/>
      <c r="AN155" s="16839"/>
      <c r="AO155" s="16839"/>
      <c r="AP155" s="16840"/>
      <c r="AQ155" s="16838"/>
      <c r="AR155" s="16839"/>
      <c r="AS155" s="16839"/>
      <c r="AT155" s="16839"/>
      <c r="AU155" s="16839"/>
      <c r="AV155" s="16839"/>
      <c r="AW155" s="16840"/>
      <c r="AX155" s="16838"/>
      <c r="AY155" s="16839"/>
      <c r="AZ155" s="16839"/>
      <c r="BA155" s="16839"/>
      <c r="BB155" s="16839"/>
      <c r="BC155" s="16839"/>
      <c r="BD155" s="16840"/>
      <c r="BE155" s="16838"/>
      <c r="BF155" s="16839"/>
      <c r="BG155" s="16839"/>
      <c r="BH155" s="16839"/>
      <c r="BI155" s="16839"/>
      <c r="BJ155" s="16839"/>
      <c r="BK155" s="16840"/>
      <c r="BL155" s="16840"/>
      <c r="BM155" s="16841" t="s">
        <v>596</v>
      </c>
      <c r="BN155" s="16819"/>
      <c r="BO155" s="16820"/>
      <c r="BP155" s="16820" t="str">
        <f>IF(T155="","",T155)</f>
        <v>Группа потребителей</v>
      </c>
      <c r="BQ155" s="16820"/>
      <c r="BR155" s="16820"/>
      <c r="BS155" s="16821">
        <v>0</v>
      </c>
    </row>
    <row s="24823" customFormat="1" customHeight="1" ht="23.25">
      <c r="A156" s="16804"/>
      <c r="B156" s="16804"/>
      <c r="C156" s="16804"/>
      <c r="D156" s="16804"/>
      <c r="E156" s="16805"/>
      <c r="F156" s="16805" t="s">
        <v>93</v>
      </c>
      <c r="G156" s="16805"/>
      <c r="H156" s="16805"/>
      <c r="I156" s="16835"/>
      <c r="J156" s="16835"/>
      <c r="K156" s="16823" t="str">
        <f>J155&amp;".1"</f>
        <v>1.8.1.1.1.1</v>
      </c>
      <c r="L156" s="16807"/>
      <c r="M156" s="16824"/>
      <c r="N156" s="16824"/>
      <c r="O156" s="16824"/>
      <c r="P156" s="16825"/>
      <c r="Q156" s="16825"/>
      <c r="R156" s="16836">
        <v>1</v>
      </c>
      <c r="S156" s="16812" t="str">
        <f>$K156</f>
        <v>1.8.1.1.1.1</v>
      </c>
      <c r="T156" s="16843" t="s">
        <v>590</v>
      </c>
      <c r="U156" s="16814"/>
      <c r="V156" s="16708"/>
      <c r="W156" s="16708"/>
      <c r="X156" s="16709"/>
      <c r="Y156" s="16710"/>
      <c r="Z156" s="16711" t="s">
        <v>66</v>
      </c>
      <c r="AA156" s="16710"/>
      <c r="AB156" s="16711" t="s">
        <v>66</v>
      </c>
      <c r="AC156" s="16844">
        <v>52.38</v>
      </c>
      <c r="AD156" s="16844"/>
      <c r="AE156" s="16845"/>
      <c r="AF156" s="16846">
        <v>45658.4884375</v>
      </c>
      <c r="AG156" s="16847" t="s">
        <v>66</v>
      </c>
      <c r="AH156" s="16712">
        <v>46022.488541666666</v>
      </c>
      <c r="AI156" s="16847" t="s">
        <v>66</v>
      </c>
      <c r="AJ156" s="16844">
        <v>48.89</v>
      </c>
      <c r="AK156" s="16844"/>
      <c r="AL156" s="16845"/>
      <c r="AM156" s="16846">
        <v>46023.495474537034</v>
      </c>
      <c r="AN156" s="16847" t="s">
        <v>66</v>
      </c>
      <c r="AO156" s="16846">
        <v>46387.49555555556</v>
      </c>
      <c r="AP156" s="16847" t="s">
        <v>66</v>
      </c>
      <c r="AQ156" s="16844">
        <v>50.33</v>
      </c>
      <c r="AR156" s="16844"/>
      <c r="AS156" s="16845"/>
      <c r="AT156" s="16846">
        <v>46388.50648148148</v>
      </c>
      <c r="AU156" s="16847" t="s">
        <v>66</v>
      </c>
      <c r="AV156" s="16846">
        <v>46752.50659722222</v>
      </c>
      <c r="AW156" s="16847" t="s">
        <v>66</v>
      </c>
      <c r="AX156" s="16844">
        <v>51.81</v>
      </c>
      <c r="AY156" s="16844"/>
      <c r="AZ156" s="16845"/>
      <c r="BA156" s="16846">
        <v>46753.506736111114</v>
      </c>
      <c r="BB156" s="16847" t="s">
        <v>66</v>
      </c>
      <c r="BC156" s="16846">
        <v>47118.506886574076</v>
      </c>
      <c r="BD156" s="16847" t="s">
        <v>19</v>
      </c>
      <c r="BE156" s="16708"/>
      <c r="BF156" s="16708"/>
      <c r="BG156" s="16709"/>
      <c r="BH156" s="16710"/>
      <c r="BI156" s="16711" t="s">
        <v>66</v>
      </c>
      <c r="BJ156" s="16710"/>
      <c r="BK156" s="16711" t="s">
        <v>66</v>
      </c>
      <c r="BL156" s="16848"/>
      <c r="BM15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56" s="16819">
        <f>STRCHECKDATE(V157:BL157)</f>
      </c>
      <c r="BO156" s="16820"/>
      <c r="BP156" s="16820" t="str">
        <f>IF(T156="","",T156)</f>
        <v>без НДС</v>
      </c>
      <c r="BQ156" s="16820"/>
      <c r="BR156" s="16820"/>
      <c r="BS156" s="16821">
        <v>0</v>
      </c>
    </row>
    <row s="24824" customFormat="1" customHeight="1" ht="14.25">
      <c r="A157" s="16804"/>
      <c r="B157" s="16804"/>
      <c r="C157" s="16804"/>
      <c r="D157" s="16804"/>
      <c r="E157" s="16805"/>
      <c r="F157" s="16805" t="s">
        <v>93</v>
      </c>
      <c r="G157" s="16805"/>
      <c r="H157" s="16805"/>
      <c r="I157" s="16835"/>
      <c r="J157" s="16835"/>
      <c r="K157" s="16823"/>
      <c r="L157" s="16807"/>
      <c r="M157" s="16824"/>
      <c r="N157" s="16824"/>
      <c r="O157" s="16824"/>
      <c r="P157" s="16825"/>
      <c r="Q157" s="16825"/>
      <c r="R157" s="16836"/>
      <c r="S157" s="16851"/>
      <c r="T157" s="16814"/>
      <c r="U157" s="16814"/>
      <c r="V157" s="16708"/>
      <c r="W157" s="16708"/>
      <c r="X157" s="16716" t="str">
        <f>Y156&amp;"-"&amp;AA156</f>
        <v>-</v>
      </c>
      <c r="Y157" s="16711"/>
      <c r="Z157" s="16711"/>
      <c r="AA157" s="16711"/>
      <c r="AB157" s="16711"/>
      <c r="AC157" s="16852"/>
      <c r="AD157" s="16852"/>
      <c r="AE157" s="16716" t="str">
        <f>AF156&amp;"-"&amp;AH156</f>
        <v>45658.4884375-46022.488541666666</v>
      </c>
      <c r="AF157" s="16853"/>
      <c r="AG157" s="16847"/>
      <c r="AH157" s="16854"/>
      <c r="AI157" s="16847"/>
      <c r="AJ157" s="16852"/>
      <c r="AK157" s="16852"/>
      <c r="AL157" s="16716" t="str">
        <f>AM156&amp;"-"&amp;AO156</f>
        <v>46023.495474537034-46387.49555555556</v>
      </c>
      <c r="AM157" s="16853"/>
      <c r="AN157" s="16847"/>
      <c r="AO157" s="16853"/>
      <c r="AP157" s="16847"/>
      <c r="AQ157" s="16852"/>
      <c r="AR157" s="16852"/>
      <c r="AS157" s="16716" t="str">
        <f>AT156&amp;"-"&amp;AV156</f>
        <v>46388.50648148148-46752.50659722222</v>
      </c>
      <c r="AT157" s="16853"/>
      <c r="AU157" s="16847"/>
      <c r="AV157" s="16853"/>
      <c r="AW157" s="16847"/>
      <c r="AX157" s="16852"/>
      <c r="AY157" s="16852"/>
      <c r="AZ157" s="16716" t="str">
        <f>BA156&amp;"-"&amp;BC156</f>
        <v>46753.506736111114-47118.506886574076</v>
      </c>
      <c r="BA157" s="16853"/>
      <c r="BB157" s="16847"/>
      <c r="BC157" s="16853"/>
      <c r="BD157" s="16847"/>
      <c r="BE157" s="16708"/>
      <c r="BF157" s="16708"/>
      <c r="BG157" s="16716" t="str">
        <f>BH156&amp;"-"&amp;BJ156</f>
        <v>-</v>
      </c>
      <c r="BH157" s="16711"/>
      <c r="BI157" s="16711"/>
      <c r="BJ157" s="16711"/>
      <c r="BK157" s="16711"/>
      <c r="BL157" s="16855"/>
      <c r="BM157" s="16849"/>
      <c r="BN157" s="16819"/>
      <c r="BO157" s="16820"/>
      <c r="BP157" s="16820" t="str">
        <f>IF(T157="","",T157)</f>
        <v/>
      </c>
      <c r="BQ157" s="16820"/>
      <c r="BR157" s="16820"/>
      <c r="BS157" s="16821">
        <v>0</v>
      </c>
    </row>
    <row s="24825" customFormat="1" customHeight="1" ht="21">
      <c r="A158" s="16804"/>
      <c r="B158" s="16804"/>
      <c r="C158" s="16804"/>
      <c r="D158" s="16804"/>
      <c r="E158" s="16805"/>
      <c r="F158" s="16805" t="s">
        <v>93</v>
      </c>
      <c r="G158" s="16805"/>
      <c r="H158" s="16805"/>
      <c r="I158" s="16835"/>
      <c r="J158" s="16823"/>
      <c r="K158" s="16804"/>
      <c r="L158" s="16807"/>
      <c r="M158" s="16824"/>
      <c r="N158" s="16824"/>
      <c r="O158" s="16824"/>
      <c r="P158" s="16825"/>
      <c r="Q158" s="16825"/>
      <c r="R158" s="16826"/>
      <c r="S158" s="18559"/>
      <c r="T158" s="18560" t="s">
        <v>597</v>
      </c>
      <c r="U158" s="18561"/>
      <c r="V158" s="18562"/>
      <c r="W158" s="18563"/>
      <c r="X158" s="18564"/>
      <c r="Y158" s="18565"/>
      <c r="Z158" s="18566"/>
      <c r="AA158" s="18567"/>
      <c r="AB158" s="18568"/>
      <c r="AC158" s="18569"/>
      <c r="AD158" s="18570"/>
      <c r="AE158" s="18571"/>
      <c r="AF158" s="18572"/>
      <c r="AG158" s="18573"/>
      <c r="AH158" s="18574"/>
      <c r="AI158" s="18575"/>
      <c r="AJ158" s="18576"/>
      <c r="AK158" s="18577"/>
      <c r="AL158" s="18578"/>
      <c r="AM158" s="18579"/>
      <c r="AN158" s="18580"/>
      <c r="AO158" s="18581"/>
      <c r="AP158" s="18582"/>
      <c r="AQ158" s="18583"/>
      <c r="AR158" s="18584"/>
      <c r="AS158" s="18585"/>
      <c r="AT158" s="18586"/>
      <c r="AU158" s="18587"/>
      <c r="AV158" s="18588"/>
      <c r="AW158" s="18589"/>
      <c r="AX158" s="18590"/>
      <c r="AY158" s="18591"/>
      <c r="AZ158" s="18592"/>
      <c r="BA158" s="18593"/>
      <c r="BB158" s="18594"/>
      <c r="BC158" s="18595"/>
      <c r="BD158" s="18596"/>
      <c r="BE158" s="18597"/>
      <c r="BF158" s="18598"/>
      <c r="BG158" s="18599"/>
      <c r="BH158" s="18600"/>
      <c r="BI158" s="18601"/>
      <c r="BJ158" s="18602"/>
      <c r="BK158" s="18603"/>
      <c r="BL158" s="18604"/>
      <c r="BM158" s="16818" t="s">
        <v>598</v>
      </c>
      <c r="BN158" s="16819"/>
      <c r="BO158" s="16820"/>
      <c r="BP158" s="16820" t="str">
        <f>IF(T158="","",T158)</f>
        <v>Добавить значение признака дифференциации</v>
      </c>
      <c r="BQ158" s="16820"/>
      <c r="BR158" s="16820"/>
      <c r="BS158" s="16821">
        <v>0</v>
      </c>
    </row>
    <row s="24872" customFormat="1" customHeight="1" ht="21">
      <c r="A159" s="16804"/>
      <c r="B159" s="16804"/>
      <c r="C159" s="16804"/>
      <c r="D159" s="16804"/>
      <c r="E159" s="16805"/>
      <c r="F159" s="16805" t="s">
        <v>93</v>
      </c>
      <c r="G159" s="16805"/>
      <c r="H159" s="16805"/>
      <c r="I159" s="16823"/>
      <c r="J159" s="16804"/>
      <c r="K159" s="16804"/>
      <c r="L159" s="16807"/>
      <c r="M159" s="16824"/>
      <c r="N159" s="16824"/>
      <c r="O159" s="16824"/>
      <c r="P159" s="16825"/>
      <c r="Q159" s="16825"/>
      <c r="R159" s="16826"/>
      <c r="S159" s="18606"/>
      <c r="T159" s="18607" t="s">
        <v>526</v>
      </c>
      <c r="U159" s="18608"/>
      <c r="V159" s="18609"/>
      <c r="W159" s="18610"/>
      <c r="X159" s="18611"/>
      <c r="Y159" s="18612"/>
      <c r="Z159" s="18613"/>
      <c r="AA159" s="18614"/>
      <c r="AB159" s="18615"/>
      <c r="AC159" s="18616"/>
      <c r="AD159" s="18617"/>
      <c r="AE159" s="18618"/>
      <c r="AF159" s="18619"/>
      <c r="AG159" s="18620"/>
      <c r="AH159" s="18621"/>
      <c r="AI159" s="18622"/>
      <c r="AJ159" s="18623"/>
      <c r="AK159" s="18624"/>
      <c r="AL159" s="18625"/>
      <c r="AM159" s="18626"/>
      <c r="AN159" s="18627"/>
      <c r="AO159" s="18628"/>
      <c r="AP159" s="18629"/>
      <c r="AQ159" s="18630"/>
      <c r="AR159" s="18631"/>
      <c r="AS159" s="18632"/>
      <c r="AT159" s="18633"/>
      <c r="AU159" s="18634"/>
      <c r="AV159" s="18635"/>
      <c r="AW159" s="18636"/>
      <c r="AX159" s="18637"/>
      <c r="AY159" s="18638"/>
      <c r="AZ159" s="18639"/>
      <c r="BA159" s="18640"/>
      <c r="BB159" s="18641"/>
      <c r="BC159" s="18642"/>
      <c r="BD159" s="18643"/>
      <c r="BE159" s="18644"/>
      <c r="BF159" s="18645"/>
      <c r="BG159" s="18646"/>
      <c r="BH159" s="18647"/>
      <c r="BI159" s="18648"/>
      <c r="BJ159" s="18649"/>
      <c r="BK159" s="18650"/>
      <c r="BL159" s="18651"/>
      <c r="BM159" s="18652"/>
      <c r="BN159" s="16819"/>
      <c r="BO159" s="16820"/>
      <c r="BP159" s="16820" t="str">
        <f>IF(T159="","",T159)</f>
        <v>Добавить группу потребителей</v>
      </c>
      <c r="BQ159" s="16820"/>
      <c r="BR159" s="16820"/>
      <c r="BS159" s="16821">
        <v>0</v>
      </c>
    </row>
    <row s="24920" customFormat="1" customHeight="1" ht="14.25">
      <c r="A160" s="16804"/>
      <c r="B160" s="16804"/>
      <c r="C160" s="16804"/>
      <c r="D160" s="16804"/>
      <c r="E160" s="16805"/>
      <c r="F160" s="16805" t="s">
        <v>93</v>
      </c>
      <c r="G160" s="16805"/>
      <c r="H160" s="16806"/>
      <c r="I160" s="16804"/>
      <c r="J160" s="16804"/>
      <c r="K160" s="16804"/>
      <c r="L160" s="16807"/>
      <c r="M160" s="16808"/>
      <c r="N160" s="16808"/>
      <c r="O160" s="16952"/>
      <c r="P160" s="16953"/>
      <c r="Q160" s="16954"/>
      <c r="R160" s="16955"/>
      <c r="S160" s="18654"/>
      <c r="T160" s="18655" t="s">
        <v>599</v>
      </c>
      <c r="U160" s="18656"/>
      <c r="V160" s="18657"/>
      <c r="W160" s="18658"/>
      <c r="X160" s="18659"/>
      <c r="Y160" s="18660"/>
      <c r="Z160" s="18661"/>
      <c r="AA160" s="18662"/>
      <c r="AB160" s="18663"/>
      <c r="AC160" s="18664"/>
      <c r="AD160" s="18665"/>
      <c r="AE160" s="18666"/>
      <c r="AF160" s="18667"/>
      <c r="AG160" s="18668"/>
      <c r="AH160" s="18669"/>
      <c r="AI160" s="18670"/>
      <c r="AJ160" s="18671"/>
      <c r="AK160" s="18672"/>
      <c r="AL160" s="18673"/>
      <c r="AM160" s="18674"/>
      <c r="AN160" s="18675"/>
      <c r="AO160" s="18676"/>
      <c r="AP160" s="18677"/>
      <c r="AQ160" s="18678"/>
      <c r="AR160" s="18679"/>
      <c r="AS160" s="18680"/>
      <c r="AT160" s="18681"/>
      <c r="AU160" s="18682"/>
      <c r="AV160" s="18683"/>
      <c r="AW160" s="18684"/>
      <c r="AX160" s="18685"/>
      <c r="AY160" s="18686"/>
      <c r="AZ160" s="18687"/>
      <c r="BA160" s="18688"/>
      <c r="BB160" s="18689"/>
      <c r="BC160" s="18690"/>
      <c r="BD160" s="18691"/>
      <c r="BE160" s="18692"/>
      <c r="BF160" s="18693"/>
      <c r="BG160" s="18694"/>
      <c r="BH160" s="18695"/>
      <c r="BI160" s="18696"/>
      <c r="BJ160" s="18697"/>
      <c r="BK160" s="18698"/>
      <c r="BL160" s="18699"/>
      <c r="BM160" s="18700"/>
      <c r="BN160" s="16819"/>
      <c r="BO160" s="16820"/>
      <c r="BP160" s="16820" t="str">
        <f>IF(T160="","",T160)</f>
        <v>Добавить наименование признака дифференциации</v>
      </c>
      <c r="BQ160" s="16820"/>
      <c r="BR160" s="16820"/>
      <c r="BS160" s="16821">
        <v>0</v>
      </c>
    </row>
    <row s="24968" customFormat="1" customHeight="1" ht="23.25">
      <c r="A161" s="16804"/>
      <c r="B161" s="16804"/>
      <c r="C161" s="16804" t="s">
        <v>313</v>
      </c>
      <c r="D161" s="16804"/>
      <c r="E161" s="16805"/>
      <c r="F161" s="16805"/>
      <c r="G161" s="16806" t="s">
        <v>103</v>
      </c>
      <c r="H161" s="16804"/>
      <c r="I161" s="16804"/>
      <c r="J161" s="16804"/>
      <c r="K161" s="16804"/>
      <c r="L161" s="16807"/>
      <c r="M161" s="16808"/>
      <c r="N161" s="16808"/>
      <c r="O161" s="16808"/>
      <c r="P161" s="16809"/>
      <c r="Q161" s="16810"/>
      <c r="R161" s="16811"/>
      <c r="S161" s="16812" t="str">
        <f>INDEX(PT_DIFFERENTIATION_NUM_CS,MATCH(C161,PT_DIFFERENTIATION_CS_ID,0))</f>
        <v>1.8.2</v>
      </c>
      <c r="T161" s="16813" t="s">
        <v>592</v>
      </c>
      <c r="U161" s="16814"/>
      <c r="V161" s="16815"/>
      <c r="W161" s="16816"/>
      <c r="X161" s="16816"/>
      <c r="Y161" s="16816"/>
      <c r="Z161" s="16816"/>
      <c r="AA161" s="16816"/>
      <c r="AB161" s="16817"/>
      <c r="AC161" s="16815" t="str">
        <f>INDEX(PT_DIFFERENTIATION_CS,MATCH(C161,PT_DIFFERENTIATION_CS_ID,0))</f>
        <v>ГО ЗАТО Фокино</v>
      </c>
      <c r="AD161" s="16816"/>
      <c r="AE161" s="16816"/>
      <c r="AF161" s="16816"/>
      <c r="AG161" s="16816"/>
      <c r="AH161" s="16816"/>
      <c r="AI161" s="16816"/>
      <c r="AJ161" s="16815"/>
      <c r="AK161" s="16816"/>
      <c r="AL161" s="16816"/>
      <c r="AM161" s="16816"/>
      <c r="AN161" s="16816"/>
      <c r="AO161" s="16816"/>
      <c r="AP161" s="16817"/>
      <c r="AQ161" s="16815"/>
      <c r="AR161" s="16816"/>
      <c r="AS161" s="16816"/>
      <c r="AT161" s="16816"/>
      <c r="AU161" s="16816"/>
      <c r="AV161" s="16816"/>
      <c r="AW161" s="16817"/>
      <c r="AX161" s="16815"/>
      <c r="AY161" s="16816"/>
      <c r="AZ161" s="16816"/>
      <c r="BA161" s="16816"/>
      <c r="BB161" s="16816"/>
      <c r="BC161" s="16816"/>
      <c r="BD161" s="16817"/>
      <c r="BE161" s="16815"/>
      <c r="BF161" s="16816"/>
      <c r="BG161" s="16816"/>
      <c r="BH161" s="16816"/>
      <c r="BI161" s="16816"/>
      <c r="BJ161" s="16816"/>
      <c r="BK161" s="16817"/>
      <c r="BL161" s="16817"/>
      <c r="BM161" s="16818" t="s">
        <v>593</v>
      </c>
      <c r="BN161" s="16819"/>
      <c r="BO161" s="16820"/>
      <c r="BP161" s="16820" t="str">
        <f>IF(T161="","",T161)</f>
        <v>Наименование централизованной системы холодного водоснабжения</v>
      </c>
      <c r="BQ161" s="16820"/>
      <c r="BR161" s="16820"/>
      <c r="BS161" s="16821">
        <v>0</v>
      </c>
    </row>
    <row s="24969" customFormat="1" customHeight="1" ht="23.25">
      <c r="A162" s="16804"/>
      <c r="B162" s="16804"/>
      <c r="C162" s="16804"/>
      <c r="D162" s="16804"/>
      <c r="E162" s="16805"/>
      <c r="F162" s="16805"/>
      <c r="G162" s="16805">
        <v>1</v>
      </c>
      <c r="H162" s="16805"/>
      <c r="I162" s="16823" t="str">
        <f>S161&amp;".1"</f>
        <v>1.8.2.1</v>
      </c>
      <c r="J162" s="16804"/>
      <c r="K162" s="16804"/>
      <c r="L162" s="16807"/>
      <c r="M162" s="16824"/>
      <c r="N162" s="16824"/>
      <c r="O162" s="16824"/>
      <c r="P162" s="16825">
        <v>1</v>
      </c>
      <c r="Q162" s="16825"/>
      <c r="R162" s="16826"/>
      <c r="S162" s="16812" t="str">
        <f>$I162</f>
        <v>1.8.2.1</v>
      </c>
      <c r="T162" s="16827" t="s">
        <v>594</v>
      </c>
      <c r="U162" s="16814"/>
      <c r="V162" s="16828"/>
      <c r="W162" s="16829"/>
      <c r="X162" s="16829"/>
      <c r="Y162" s="16829"/>
      <c r="Z162" s="16829"/>
      <c r="AA162" s="16829"/>
      <c r="AB162" s="16830"/>
      <c r="AC162" s="16831"/>
      <c r="AD162" s="16832"/>
      <c r="AE162" s="16832"/>
      <c r="AF162" s="16832"/>
      <c r="AG162" s="16832"/>
      <c r="AH162" s="16832"/>
      <c r="AI162" s="16832"/>
      <c r="AJ162" s="16828"/>
      <c r="AK162" s="16829"/>
      <c r="AL162" s="16829"/>
      <c r="AM162" s="16829"/>
      <c r="AN162" s="16829"/>
      <c r="AO162" s="16829"/>
      <c r="AP162" s="16830"/>
      <c r="AQ162" s="16828"/>
      <c r="AR162" s="16829"/>
      <c r="AS162" s="16829"/>
      <c r="AT162" s="16829"/>
      <c r="AU162" s="16829"/>
      <c r="AV162" s="16829"/>
      <c r="AW162" s="16830"/>
      <c r="AX162" s="16828"/>
      <c r="AY162" s="16829"/>
      <c r="AZ162" s="16829"/>
      <c r="BA162" s="16829"/>
      <c r="BB162" s="16829"/>
      <c r="BC162" s="16829"/>
      <c r="BD162" s="16830"/>
      <c r="BE162" s="16828"/>
      <c r="BF162" s="16829"/>
      <c r="BG162" s="16829"/>
      <c r="BH162" s="16829"/>
      <c r="BI162" s="16829"/>
      <c r="BJ162" s="16829"/>
      <c r="BK162" s="16830"/>
      <c r="BL162" s="16833"/>
      <c r="BM162" s="16818" t="s">
        <v>595</v>
      </c>
      <c r="BN162" s="16819"/>
      <c r="BO162" s="16820"/>
      <c r="BP162" s="16820" t="str">
        <f>IF(T162="","",T162)</f>
        <v>Наименование признака дифференциации</v>
      </c>
      <c r="BQ162" s="16820"/>
      <c r="BR162" s="16820"/>
      <c r="BS162" s="16821">
        <v>0</v>
      </c>
    </row>
    <row s="24970" customFormat="1" customHeight="1" ht="23.25">
      <c r="A163" s="16804"/>
      <c r="B163" s="16804"/>
      <c r="C163" s="16804"/>
      <c r="D163" s="16804"/>
      <c r="E163" s="16805"/>
      <c r="F163" s="16805"/>
      <c r="G163" s="16805">
        <v>1</v>
      </c>
      <c r="H163" s="16805"/>
      <c r="I163" s="16835"/>
      <c r="J163" s="16823" t="str">
        <f>I162&amp;".1"</f>
        <v>1.8.2.1.1</v>
      </c>
      <c r="K163" s="16804"/>
      <c r="L163" s="16807" t="s">
        <v>520</v>
      </c>
      <c r="M163" s="16824"/>
      <c r="N163" s="16824"/>
      <c r="O163" s="16824"/>
      <c r="P163" s="16825"/>
      <c r="Q163" s="16825">
        <v>1</v>
      </c>
      <c r="R163" s="16836"/>
      <c r="S163" s="16812" t="str">
        <f>$J163</f>
        <v>1.8.2.1.1</v>
      </c>
      <c r="T163" s="16837" t="s">
        <v>521</v>
      </c>
      <c r="U163" s="16814"/>
      <c r="V163" s="16838"/>
      <c r="W163" s="16839"/>
      <c r="X163" s="16839"/>
      <c r="Y163" s="16839"/>
      <c r="Z163" s="16839"/>
      <c r="AA163" s="16839"/>
      <c r="AB163" s="16840"/>
      <c r="AC163" s="16838" t="s">
        <v>607</v>
      </c>
      <c r="AD163" s="16839"/>
      <c r="AE163" s="16839"/>
      <c r="AF163" s="16839"/>
      <c r="AG163" s="16839"/>
      <c r="AH163" s="16839"/>
      <c r="AI163" s="16839"/>
      <c r="AJ163" s="16838"/>
      <c r="AK163" s="16839"/>
      <c r="AL163" s="16839"/>
      <c r="AM163" s="16839"/>
      <c r="AN163" s="16839"/>
      <c r="AO163" s="16839"/>
      <c r="AP163" s="16840"/>
      <c r="AQ163" s="16838"/>
      <c r="AR163" s="16839"/>
      <c r="AS163" s="16839"/>
      <c r="AT163" s="16839"/>
      <c r="AU163" s="16839"/>
      <c r="AV163" s="16839"/>
      <c r="AW163" s="16840"/>
      <c r="AX163" s="16838"/>
      <c r="AY163" s="16839"/>
      <c r="AZ163" s="16839"/>
      <c r="BA163" s="16839"/>
      <c r="BB163" s="16839"/>
      <c r="BC163" s="16839"/>
      <c r="BD163" s="16840"/>
      <c r="BE163" s="16838"/>
      <c r="BF163" s="16839"/>
      <c r="BG163" s="16839"/>
      <c r="BH163" s="16839"/>
      <c r="BI163" s="16839"/>
      <c r="BJ163" s="16839"/>
      <c r="BK163" s="16840"/>
      <c r="BL163" s="16840"/>
      <c r="BM163" s="16841" t="s">
        <v>596</v>
      </c>
      <c r="BN163" s="16819"/>
      <c r="BO163" s="16820"/>
      <c r="BP163" s="16820" t="str">
        <f>IF(T163="","",T163)</f>
        <v>Группа потребителей</v>
      </c>
      <c r="BQ163" s="16820"/>
      <c r="BR163" s="16820"/>
      <c r="BS163" s="16821">
        <v>0</v>
      </c>
    </row>
    <row s="24971" customFormat="1" customHeight="1" ht="23.25">
      <c r="A164" s="16804"/>
      <c r="B164" s="16804"/>
      <c r="C164" s="16804"/>
      <c r="D164" s="16804"/>
      <c r="E164" s="16805"/>
      <c r="F164" s="16805"/>
      <c r="G164" s="16805">
        <v>1</v>
      </c>
      <c r="H164" s="16805"/>
      <c r="I164" s="16835"/>
      <c r="J164" s="16835"/>
      <c r="K164" s="16823" t="str">
        <f>J163&amp;".1"</f>
        <v>1.8.2.1.1.1</v>
      </c>
      <c r="L164" s="16807"/>
      <c r="M164" s="16824"/>
      <c r="N164" s="16824"/>
      <c r="O164" s="16824"/>
      <c r="P164" s="16825"/>
      <c r="Q164" s="16825"/>
      <c r="R164" s="16836">
        <v>1</v>
      </c>
      <c r="S164" s="16812" t="str">
        <f>$K164</f>
        <v>1.8.2.1.1.1</v>
      </c>
      <c r="T164" s="16843" t="s">
        <v>590</v>
      </c>
      <c r="U164" s="16814"/>
      <c r="V164" s="16708"/>
      <c r="W164" s="16708"/>
      <c r="X164" s="16709"/>
      <c r="Y164" s="16710"/>
      <c r="Z164" s="16711" t="s">
        <v>66</v>
      </c>
      <c r="AA164" s="16710"/>
      <c r="AB164" s="16711" t="s">
        <v>66</v>
      </c>
      <c r="AC164" s="16844">
        <v>52.69</v>
      </c>
      <c r="AD164" s="16844"/>
      <c r="AE164" s="16845"/>
      <c r="AF164" s="16846">
        <v>45658.48869212963</v>
      </c>
      <c r="AG164" s="16847" t="s">
        <v>66</v>
      </c>
      <c r="AH164" s="16712">
        <v>46022.4887962963</v>
      </c>
      <c r="AI164" s="16847" t="s">
        <v>66</v>
      </c>
      <c r="AJ164" s="16844">
        <v>50.11</v>
      </c>
      <c r="AK164" s="16844"/>
      <c r="AL164" s="16845"/>
      <c r="AM164" s="16846">
        <v>46023.495717592596</v>
      </c>
      <c r="AN164" s="16847" t="s">
        <v>66</v>
      </c>
      <c r="AO164" s="16846">
        <v>46387.49582175926</v>
      </c>
      <c r="AP164" s="16847" t="s">
        <v>66</v>
      </c>
      <c r="AQ164" s="16844">
        <v>51.44</v>
      </c>
      <c r="AR164" s="16844"/>
      <c r="AS164" s="16845"/>
      <c r="AT164" s="16846">
        <v>46388.50703703704</v>
      </c>
      <c r="AU164" s="16847" t="s">
        <v>66</v>
      </c>
      <c r="AV164" s="16846">
        <v>46752.50717592592</v>
      </c>
      <c r="AW164" s="16847" t="s">
        <v>66</v>
      </c>
      <c r="AX164" s="16844">
        <v>52.81</v>
      </c>
      <c r="AY164" s="16844"/>
      <c r="AZ164" s="16845"/>
      <c r="BA164" s="16846">
        <v>46753.507789351854</v>
      </c>
      <c r="BB164" s="16847" t="s">
        <v>66</v>
      </c>
      <c r="BC164" s="16846">
        <v>47118.50795138889</v>
      </c>
      <c r="BD164" s="16847" t="s">
        <v>19</v>
      </c>
      <c r="BE164" s="16708"/>
      <c r="BF164" s="16708"/>
      <c r="BG164" s="16709"/>
      <c r="BH164" s="16710"/>
      <c r="BI164" s="16711" t="s">
        <v>66</v>
      </c>
      <c r="BJ164" s="16710"/>
      <c r="BK164" s="16711" t="s">
        <v>66</v>
      </c>
      <c r="BL164" s="16848"/>
      <c r="BM164"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64" s="16819">
        <f>STRCHECKDATE(V165:BL165)</f>
      </c>
      <c r="BO164" s="16820"/>
      <c r="BP164" s="16820" t="str">
        <f>IF(T164="","",T164)</f>
        <v>без НДС</v>
      </c>
      <c r="BQ164" s="16820"/>
      <c r="BR164" s="16820"/>
      <c r="BS164" s="16821">
        <v>0</v>
      </c>
    </row>
    <row s="24972" customFormat="1" customHeight="1" ht="14.25">
      <c r="A165" s="16804"/>
      <c r="B165" s="16804"/>
      <c r="C165" s="16804"/>
      <c r="D165" s="16804"/>
      <c r="E165" s="16805"/>
      <c r="F165" s="16805"/>
      <c r="G165" s="16805">
        <v>1</v>
      </c>
      <c r="H165" s="16805"/>
      <c r="I165" s="16835"/>
      <c r="J165" s="16835"/>
      <c r="K165" s="16823"/>
      <c r="L165" s="16807"/>
      <c r="M165" s="16824"/>
      <c r="N165" s="16824"/>
      <c r="O165" s="16824"/>
      <c r="P165" s="16825"/>
      <c r="Q165" s="16825"/>
      <c r="R165" s="16836"/>
      <c r="S165" s="16851"/>
      <c r="T165" s="16814"/>
      <c r="U165" s="16814"/>
      <c r="V165" s="16708"/>
      <c r="W165" s="16708"/>
      <c r="X165" s="16716" t="str">
        <f>Y164&amp;"-"&amp;AA164</f>
        <v>-</v>
      </c>
      <c r="Y165" s="16711"/>
      <c r="Z165" s="16711"/>
      <c r="AA165" s="16711"/>
      <c r="AB165" s="16711"/>
      <c r="AC165" s="16852"/>
      <c r="AD165" s="16852"/>
      <c r="AE165" s="16716" t="str">
        <f>AF164&amp;"-"&amp;AH164</f>
        <v>45658.48869212963-46022.4887962963</v>
      </c>
      <c r="AF165" s="16853"/>
      <c r="AG165" s="16847"/>
      <c r="AH165" s="16854"/>
      <c r="AI165" s="16847"/>
      <c r="AJ165" s="16852"/>
      <c r="AK165" s="16852"/>
      <c r="AL165" s="16716" t="str">
        <f>AM164&amp;"-"&amp;AO164</f>
        <v>46023.495717592596-46387.49582175926</v>
      </c>
      <c r="AM165" s="16853"/>
      <c r="AN165" s="16847"/>
      <c r="AO165" s="16853"/>
      <c r="AP165" s="16847"/>
      <c r="AQ165" s="16852"/>
      <c r="AR165" s="16852"/>
      <c r="AS165" s="16716" t="str">
        <f>AT164&amp;"-"&amp;AV164</f>
        <v>46388.50703703704-46752.50717592592</v>
      </c>
      <c r="AT165" s="16853"/>
      <c r="AU165" s="16847"/>
      <c r="AV165" s="16853"/>
      <c r="AW165" s="16847"/>
      <c r="AX165" s="16852"/>
      <c r="AY165" s="16852"/>
      <c r="AZ165" s="16716" t="str">
        <f>BA164&amp;"-"&amp;BC164</f>
        <v>46753.507789351854-47118.50795138889</v>
      </c>
      <c r="BA165" s="16853"/>
      <c r="BB165" s="16847"/>
      <c r="BC165" s="16853"/>
      <c r="BD165" s="16847"/>
      <c r="BE165" s="16708"/>
      <c r="BF165" s="16708"/>
      <c r="BG165" s="16716" t="str">
        <f>BH164&amp;"-"&amp;BJ164</f>
        <v>-</v>
      </c>
      <c r="BH165" s="16711"/>
      <c r="BI165" s="16711"/>
      <c r="BJ165" s="16711"/>
      <c r="BK165" s="16711"/>
      <c r="BL165" s="16855"/>
      <c r="BM165" s="16849"/>
      <c r="BN165" s="16819"/>
      <c r="BO165" s="16820"/>
      <c r="BP165" s="16820" t="str">
        <f>IF(T165="","",T165)</f>
        <v/>
      </c>
      <c r="BQ165" s="16820"/>
      <c r="BR165" s="16820"/>
      <c r="BS165" s="16821">
        <v>0</v>
      </c>
    </row>
    <row s="24973" customFormat="1" customHeight="1" ht="21">
      <c r="A166" s="16804"/>
      <c r="B166" s="16804"/>
      <c r="C166" s="16804"/>
      <c r="D166" s="16804"/>
      <c r="E166" s="16805"/>
      <c r="F166" s="16805"/>
      <c r="G166" s="16805">
        <v>1</v>
      </c>
      <c r="H166" s="16805"/>
      <c r="I166" s="16835"/>
      <c r="J166" s="16823"/>
      <c r="K166" s="16804"/>
      <c r="L166" s="16807"/>
      <c r="M166" s="16824"/>
      <c r="N166" s="16824"/>
      <c r="O166" s="16824"/>
      <c r="P166" s="16825"/>
      <c r="Q166" s="16825"/>
      <c r="R166" s="16826"/>
      <c r="S166" s="18707"/>
      <c r="T166" s="18708" t="s">
        <v>597</v>
      </c>
      <c r="U166" s="18709"/>
      <c r="V166" s="18710"/>
      <c r="W166" s="18711"/>
      <c r="X166" s="18712"/>
      <c r="Y166" s="18713"/>
      <c r="Z166" s="18714"/>
      <c r="AA166" s="18715"/>
      <c r="AB166" s="18716"/>
      <c r="AC166" s="18717"/>
      <c r="AD166" s="18718"/>
      <c r="AE166" s="18719"/>
      <c r="AF166" s="18720"/>
      <c r="AG166" s="18721"/>
      <c r="AH166" s="18722"/>
      <c r="AI166" s="18723"/>
      <c r="AJ166" s="18724"/>
      <c r="AK166" s="18725"/>
      <c r="AL166" s="18726"/>
      <c r="AM166" s="18727"/>
      <c r="AN166" s="18728"/>
      <c r="AO166" s="18729"/>
      <c r="AP166" s="18730"/>
      <c r="AQ166" s="18731"/>
      <c r="AR166" s="18732"/>
      <c r="AS166" s="18733"/>
      <c r="AT166" s="18734"/>
      <c r="AU166" s="18735"/>
      <c r="AV166" s="18736"/>
      <c r="AW166" s="18737"/>
      <c r="AX166" s="18738"/>
      <c r="AY166" s="18739"/>
      <c r="AZ166" s="18740"/>
      <c r="BA166" s="18741"/>
      <c r="BB166" s="18742"/>
      <c r="BC166" s="18743"/>
      <c r="BD166" s="18744"/>
      <c r="BE166" s="18745"/>
      <c r="BF166" s="18746"/>
      <c r="BG166" s="18747"/>
      <c r="BH166" s="18748"/>
      <c r="BI166" s="18749"/>
      <c r="BJ166" s="18750"/>
      <c r="BK166" s="18751"/>
      <c r="BL166" s="18752"/>
      <c r="BM166" s="16818" t="s">
        <v>598</v>
      </c>
      <c r="BN166" s="16819"/>
      <c r="BO166" s="16820"/>
      <c r="BP166" s="16820" t="str">
        <f>IF(T166="","",T166)</f>
        <v>Добавить значение признака дифференциации</v>
      </c>
      <c r="BQ166" s="16820"/>
      <c r="BR166" s="16820"/>
      <c r="BS166" s="16821">
        <v>0</v>
      </c>
    </row>
    <row s="25020" customFormat="1" customHeight="1" ht="21">
      <c r="A167" s="16804"/>
      <c r="B167" s="16804"/>
      <c r="C167" s="16804"/>
      <c r="D167" s="16804"/>
      <c r="E167" s="16805"/>
      <c r="F167" s="16805"/>
      <c r="G167" s="16805">
        <v>1</v>
      </c>
      <c r="H167" s="16805"/>
      <c r="I167" s="16823"/>
      <c r="J167" s="16804"/>
      <c r="K167" s="16804"/>
      <c r="L167" s="16807"/>
      <c r="M167" s="16824"/>
      <c r="N167" s="16824"/>
      <c r="O167" s="16824"/>
      <c r="P167" s="16825"/>
      <c r="Q167" s="16825"/>
      <c r="R167" s="16826"/>
      <c r="S167" s="18754"/>
      <c r="T167" s="18755" t="s">
        <v>526</v>
      </c>
      <c r="U167" s="18756"/>
      <c r="V167" s="18757"/>
      <c r="W167" s="18758"/>
      <c r="X167" s="18759"/>
      <c r="Y167" s="18760"/>
      <c r="Z167" s="18761"/>
      <c r="AA167" s="18762"/>
      <c r="AB167" s="18763"/>
      <c r="AC167" s="18764"/>
      <c r="AD167" s="18765"/>
      <c r="AE167" s="18766"/>
      <c r="AF167" s="18767"/>
      <c r="AG167" s="18768"/>
      <c r="AH167" s="18769"/>
      <c r="AI167" s="18770"/>
      <c r="AJ167" s="18771"/>
      <c r="AK167" s="18772"/>
      <c r="AL167" s="18773"/>
      <c r="AM167" s="18774"/>
      <c r="AN167" s="18775"/>
      <c r="AO167" s="18776"/>
      <c r="AP167" s="18777"/>
      <c r="AQ167" s="18778"/>
      <c r="AR167" s="18779"/>
      <c r="AS167" s="18780"/>
      <c r="AT167" s="18781"/>
      <c r="AU167" s="18782"/>
      <c r="AV167" s="18783"/>
      <c r="AW167" s="18784"/>
      <c r="AX167" s="18785"/>
      <c r="AY167" s="18786"/>
      <c r="AZ167" s="18787"/>
      <c r="BA167" s="18788"/>
      <c r="BB167" s="18789"/>
      <c r="BC167" s="18790"/>
      <c r="BD167" s="18791"/>
      <c r="BE167" s="18792"/>
      <c r="BF167" s="18793"/>
      <c r="BG167" s="18794"/>
      <c r="BH167" s="18795"/>
      <c r="BI167" s="18796"/>
      <c r="BJ167" s="18797"/>
      <c r="BK167" s="18798"/>
      <c r="BL167" s="18799"/>
      <c r="BM167" s="18800"/>
      <c r="BN167" s="16819"/>
      <c r="BO167" s="16820"/>
      <c r="BP167" s="16820" t="str">
        <f>IF(T167="","",T167)</f>
        <v>Добавить группу потребителей</v>
      </c>
      <c r="BQ167" s="16820"/>
      <c r="BR167" s="16820"/>
      <c r="BS167" s="16821">
        <v>0</v>
      </c>
    </row>
    <row s="25068" customFormat="1" customHeight="1" ht="14.25">
      <c r="A168" s="16804"/>
      <c r="B168" s="16804"/>
      <c r="C168" s="16804"/>
      <c r="D168" s="16804"/>
      <c r="E168" s="16805"/>
      <c r="F168" s="16805"/>
      <c r="G168" s="16805">
        <v>1</v>
      </c>
      <c r="H168" s="16806"/>
      <c r="I168" s="16804"/>
      <c r="J168" s="16804"/>
      <c r="K168" s="16804"/>
      <c r="L168" s="16807"/>
      <c r="M168" s="16808"/>
      <c r="N168" s="16808"/>
      <c r="O168" s="16952"/>
      <c r="P168" s="16953"/>
      <c r="Q168" s="16954"/>
      <c r="R168" s="16955"/>
      <c r="S168" s="18802"/>
      <c r="T168" s="18803" t="s">
        <v>599</v>
      </c>
      <c r="U168" s="18804"/>
      <c r="V168" s="18805"/>
      <c r="W168" s="18806"/>
      <c r="X168" s="18807"/>
      <c r="Y168" s="18808"/>
      <c r="Z168" s="18809"/>
      <c r="AA168" s="18810"/>
      <c r="AB168" s="18811"/>
      <c r="AC168" s="18812"/>
      <c r="AD168" s="18813"/>
      <c r="AE168" s="18814"/>
      <c r="AF168" s="18815"/>
      <c r="AG168" s="18816"/>
      <c r="AH168" s="18817"/>
      <c r="AI168" s="18818"/>
      <c r="AJ168" s="18819"/>
      <c r="AK168" s="18820"/>
      <c r="AL168" s="18821"/>
      <c r="AM168" s="18822"/>
      <c r="AN168" s="18823"/>
      <c r="AO168" s="18824"/>
      <c r="AP168" s="18825"/>
      <c r="AQ168" s="18826"/>
      <c r="AR168" s="18827"/>
      <c r="AS168" s="18828"/>
      <c r="AT168" s="18829"/>
      <c r="AU168" s="18830"/>
      <c r="AV168" s="18831"/>
      <c r="AW168" s="18832"/>
      <c r="AX168" s="18833"/>
      <c r="AY168" s="18834"/>
      <c r="AZ168" s="18835"/>
      <c r="BA168" s="18836"/>
      <c r="BB168" s="18837"/>
      <c r="BC168" s="18838"/>
      <c r="BD168" s="18839"/>
      <c r="BE168" s="18840"/>
      <c r="BF168" s="18841"/>
      <c r="BG168" s="18842"/>
      <c r="BH168" s="18843"/>
      <c r="BI168" s="18844"/>
      <c r="BJ168" s="18845"/>
      <c r="BK168" s="18846"/>
      <c r="BL168" s="18847"/>
      <c r="BM168" s="18848"/>
      <c r="BN168" s="16819"/>
      <c r="BO168" s="16820"/>
      <c r="BP168" s="16820" t="str">
        <f>IF(T168="","",T168)</f>
        <v>Добавить наименование признака дифференциации</v>
      </c>
      <c r="BQ168" s="16820"/>
      <c r="BR168" s="16820"/>
      <c r="BS168" s="16821">
        <v>0</v>
      </c>
    </row>
    <row s="25116" customFormat="1" customHeight="1" ht="14.25">
      <c r="A169" s="17944"/>
      <c r="B169" s="17944"/>
      <c r="C169" s="17944"/>
      <c r="D169" s="17944"/>
      <c r="E169" s="16805"/>
      <c r="F169" s="16806" t="s">
        <v>93</v>
      </c>
      <c r="G169" s="17944"/>
      <c r="H169" s="17944"/>
      <c r="I169" s="17944"/>
      <c r="J169" s="17944"/>
      <c r="K169" s="17944"/>
      <c r="L169" s="17945"/>
      <c r="M169" s="17946"/>
      <c r="N169" s="17946"/>
      <c r="O169" s="16819"/>
      <c r="P169" s="17947"/>
      <c r="Q169" s="17948"/>
      <c r="R169" s="17947"/>
      <c r="S169" s="17949"/>
      <c r="T169" s="17950" t="s">
        <v>280</v>
      </c>
      <c r="U169" s="17951"/>
      <c r="V169" s="17951"/>
      <c r="W169" s="17951"/>
      <c r="X169" s="17951"/>
      <c r="Y169" s="17951"/>
      <c r="Z169" s="17951"/>
      <c r="AA169" s="17951"/>
      <c r="AB169" s="17951"/>
      <c r="AC169" s="17951"/>
      <c r="AD169" s="17951"/>
      <c r="AE169" s="17951"/>
      <c r="AF169" s="17951"/>
      <c r="AG169" s="17951"/>
      <c r="AH169" s="17951"/>
      <c r="AI169" s="17951"/>
      <c r="AJ169" s="17951"/>
      <c r="AK169" s="17951"/>
      <c r="AL169" s="17951"/>
      <c r="AM169" s="17951"/>
      <c r="AN169" s="17951"/>
      <c r="AO169" s="17951"/>
      <c r="AP169" s="17951"/>
      <c r="AQ169" s="17951"/>
      <c r="AR169" s="17951"/>
      <c r="AS169" s="17951"/>
      <c r="AT169" s="17951"/>
      <c r="AU169" s="17951"/>
      <c r="AV169" s="17951"/>
      <c r="AW169" s="17951"/>
      <c r="AX169" s="17951"/>
      <c r="AY169" s="17951"/>
      <c r="AZ169" s="17951"/>
      <c r="BA169" s="17951"/>
      <c r="BB169" s="17951"/>
      <c r="BC169" s="17951"/>
      <c r="BD169" s="17951"/>
      <c r="BE169" s="17951"/>
      <c r="BF169" s="17951"/>
      <c r="BG169" s="17951"/>
      <c r="BH169" s="17951"/>
      <c r="BI169" s="17951"/>
      <c r="BJ169" s="17951"/>
      <c r="BK169" s="17951"/>
      <c r="BL169" s="17951"/>
      <c r="BM169" s="17951"/>
      <c r="BN169" s="16819"/>
      <c r="BO169" s="16820"/>
      <c r="BP169" s="16820" t="str">
        <f>IF(T169="","",T169)</f>
        <v>Добавить централизованную систему для дифференциации</v>
      </c>
      <c r="BQ169" s="16820"/>
      <c r="BR169" s="16820"/>
      <c r="BS169" s="16819">
        <v>0</v>
      </c>
    </row>
    <row s="25117" customFormat="1" customHeight="1" ht="23.25">
      <c r="A170" s="16804"/>
      <c r="B170" s="16804" t="s">
        <v>316</v>
      </c>
      <c r="C170" s="16804"/>
      <c r="D170" s="16804"/>
      <c r="E170" s="16805"/>
      <c r="F170" s="16806" t="s">
        <v>134</v>
      </c>
      <c r="G170" s="16804"/>
      <c r="H170" s="16804"/>
      <c r="I170" s="16804"/>
      <c r="J170" s="16804"/>
      <c r="K170" s="16804"/>
      <c r="L170" s="16807"/>
      <c r="M170" s="16808"/>
      <c r="N170" s="16808"/>
      <c r="O170" s="16808"/>
      <c r="P170" s="17793"/>
      <c r="Q170" s="16810"/>
      <c r="R170" s="16811"/>
      <c r="S170" s="16812" t="str">
        <f>INDEX(PT_DIFFERENTIATION_NUM_TER,MATCH(B170,PT_DIFFERENTIATION_TER_ID,0))</f>
        <v>1.9</v>
      </c>
      <c r="T170" s="17794" t="s">
        <v>511</v>
      </c>
      <c r="U170" s="16814"/>
      <c r="V170" s="16815"/>
      <c r="W170" s="16816"/>
      <c r="X170" s="16816"/>
      <c r="Y170" s="16816"/>
      <c r="Z170" s="16816"/>
      <c r="AA170" s="16816"/>
      <c r="AB170" s="16817"/>
      <c r="AC170" s="16815" t="str">
        <f>INDEX(PT_DIFFERENTIATION_TER,MATCH(B170,PT_DIFFERENTIATION_TER_ID,0))</f>
        <v>Территория 9</v>
      </c>
      <c r="AD170" s="16816"/>
      <c r="AE170" s="16816"/>
      <c r="AF170" s="16816"/>
      <c r="AG170" s="16816"/>
      <c r="AH170" s="16816"/>
      <c r="AI170" s="16816"/>
      <c r="AJ170" s="16815"/>
      <c r="AK170" s="16816"/>
      <c r="AL170" s="16816"/>
      <c r="AM170" s="16816"/>
      <c r="AN170" s="16816"/>
      <c r="AO170" s="16816"/>
      <c r="AP170" s="16817"/>
      <c r="AQ170" s="16815"/>
      <c r="AR170" s="16816"/>
      <c r="AS170" s="16816"/>
      <c r="AT170" s="16816"/>
      <c r="AU170" s="16816"/>
      <c r="AV170" s="16816"/>
      <c r="AW170" s="16817"/>
      <c r="AX170" s="16815"/>
      <c r="AY170" s="16816"/>
      <c r="AZ170" s="16816"/>
      <c r="BA170" s="16816"/>
      <c r="BB170" s="16816"/>
      <c r="BC170" s="16816"/>
      <c r="BD170" s="16817"/>
      <c r="BE170" s="16815"/>
      <c r="BF170" s="16816"/>
      <c r="BG170" s="16816"/>
      <c r="BH170" s="16816"/>
      <c r="BI170" s="16816"/>
      <c r="BJ170" s="16816"/>
      <c r="BK170" s="16817"/>
      <c r="BL170" s="16817"/>
      <c r="BM170" s="16818" t="s">
        <v>512</v>
      </c>
      <c r="BN170" s="16819"/>
      <c r="BO170" s="16820"/>
      <c r="BP170" s="16820" t="str">
        <f>IF(T170="","",T170)</f>
        <v>Территория действия тарифа</v>
      </c>
      <c r="BQ170" s="16820"/>
      <c r="BR170" s="16820"/>
      <c r="BS170" s="16821">
        <v>0</v>
      </c>
    </row>
    <row s="25118" customFormat="1" customHeight="1" ht="23.25">
      <c r="A171" s="16804"/>
      <c r="B171" s="16804"/>
      <c r="C171" s="16804" t="s">
        <v>317</v>
      </c>
      <c r="D171" s="16804"/>
      <c r="E171" s="16805"/>
      <c r="F171" s="16805" t="s">
        <v>129</v>
      </c>
      <c r="G171" s="16806">
        <v>1</v>
      </c>
      <c r="H171" s="16804"/>
      <c r="I171" s="16804"/>
      <c r="J171" s="16804"/>
      <c r="K171" s="16804"/>
      <c r="L171" s="16807"/>
      <c r="M171" s="16808"/>
      <c r="N171" s="16808"/>
      <c r="O171" s="16808"/>
      <c r="P171" s="16809"/>
      <c r="Q171" s="16810"/>
      <c r="R171" s="16811"/>
      <c r="S171" s="16812" t="str">
        <f>INDEX(PT_DIFFERENTIATION_NUM_CS,MATCH(C171,PT_DIFFERENTIATION_CS_ID,0))</f>
        <v>1.9.1</v>
      </c>
      <c r="T171" s="16813" t="s">
        <v>592</v>
      </c>
      <c r="U171" s="16814"/>
      <c r="V171" s="16815"/>
      <c r="W171" s="16816"/>
      <c r="X171" s="16816"/>
      <c r="Y171" s="16816"/>
      <c r="Z171" s="16816"/>
      <c r="AA171" s="16816"/>
      <c r="AB171" s="16817"/>
      <c r="AC171" s="16815" t="str">
        <f>INDEX(PT_DIFFERENTIATION_CS,MATCH(C171,PT_DIFFERENTIATION_CS_ID,0))</f>
        <v>ГО Спасск-Дальний МКР №1-3,3-а</v>
      </c>
      <c r="AD171" s="16816"/>
      <c r="AE171" s="16816"/>
      <c r="AF171" s="16816"/>
      <c r="AG171" s="16816"/>
      <c r="AH171" s="16816"/>
      <c r="AI171" s="16816"/>
      <c r="AJ171" s="16815"/>
      <c r="AK171" s="16816"/>
      <c r="AL171" s="16816"/>
      <c r="AM171" s="16816"/>
      <c r="AN171" s="16816"/>
      <c r="AO171" s="16816"/>
      <c r="AP171" s="16817"/>
      <c r="AQ171" s="16815"/>
      <c r="AR171" s="16816"/>
      <c r="AS171" s="16816"/>
      <c r="AT171" s="16816"/>
      <c r="AU171" s="16816"/>
      <c r="AV171" s="16816"/>
      <c r="AW171" s="16817"/>
      <c r="AX171" s="16815"/>
      <c r="AY171" s="16816"/>
      <c r="AZ171" s="16816"/>
      <c r="BA171" s="16816"/>
      <c r="BB171" s="16816"/>
      <c r="BC171" s="16816"/>
      <c r="BD171" s="16817"/>
      <c r="BE171" s="16815"/>
      <c r="BF171" s="16816"/>
      <c r="BG171" s="16816"/>
      <c r="BH171" s="16816"/>
      <c r="BI171" s="16816"/>
      <c r="BJ171" s="16816"/>
      <c r="BK171" s="16817"/>
      <c r="BL171" s="16817"/>
      <c r="BM171" s="16818" t="s">
        <v>593</v>
      </c>
      <c r="BN171" s="16819"/>
      <c r="BO171" s="16820"/>
      <c r="BP171" s="16820" t="str">
        <f>IF(T171="","",T171)</f>
        <v>Наименование централизованной системы холодного водоснабжения</v>
      </c>
      <c r="BQ171" s="16820"/>
      <c r="BR171" s="16820"/>
      <c r="BS171" s="16821">
        <v>0</v>
      </c>
    </row>
    <row s="25119" customFormat="1" customHeight="1" ht="23.25">
      <c r="A172" s="16804"/>
      <c r="B172" s="16804"/>
      <c r="C172" s="16804"/>
      <c r="D172" s="16804"/>
      <c r="E172" s="16805"/>
      <c r="F172" s="16805" t="s">
        <v>129</v>
      </c>
      <c r="G172" s="16805"/>
      <c r="H172" s="16805"/>
      <c r="I172" s="16823" t="str">
        <f>S171&amp;".1"</f>
        <v>1.9.1.1</v>
      </c>
      <c r="J172" s="16804"/>
      <c r="K172" s="16804"/>
      <c r="L172" s="16807"/>
      <c r="M172" s="16824"/>
      <c r="N172" s="16824"/>
      <c r="O172" s="16824"/>
      <c r="P172" s="16825">
        <v>1</v>
      </c>
      <c r="Q172" s="16825"/>
      <c r="R172" s="16826"/>
      <c r="S172" s="16812" t="str">
        <f>$I172</f>
        <v>1.9.1.1</v>
      </c>
      <c r="T172" s="16827" t="s">
        <v>594</v>
      </c>
      <c r="U172" s="16814"/>
      <c r="V172" s="16828"/>
      <c r="W172" s="16829"/>
      <c r="X172" s="16829"/>
      <c r="Y172" s="16829"/>
      <c r="Z172" s="16829"/>
      <c r="AA172" s="16829"/>
      <c r="AB172" s="16830"/>
      <c r="AC172" s="16831"/>
      <c r="AD172" s="16832"/>
      <c r="AE172" s="16832"/>
      <c r="AF172" s="16832"/>
      <c r="AG172" s="16832"/>
      <c r="AH172" s="16832"/>
      <c r="AI172" s="16832"/>
      <c r="AJ172" s="16828"/>
      <c r="AK172" s="16829"/>
      <c r="AL172" s="16829"/>
      <c r="AM172" s="16829"/>
      <c r="AN172" s="16829"/>
      <c r="AO172" s="16829"/>
      <c r="AP172" s="16830"/>
      <c r="AQ172" s="16828"/>
      <c r="AR172" s="16829"/>
      <c r="AS172" s="16829"/>
      <c r="AT172" s="16829"/>
      <c r="AU172" s="16829"/>
      <c r="AV172" s="16829"/>
      <c r="AW172" s="16830"/>
      <c r="AX172" s="16828"/>
      <c r="AY172" s="16829"/>
      <c r="AZ172" s="16829"/>
      <c r="BA172" s="16829"/>
      <c r="BB172" s="16829"/>
      <c r="BC172" s="16829"/>
      <c r="BD172" s="16830"/>
      <c r="BE172" s="16828"/>
      <c r="BF172" s="16829"/>
      <c r="BG172" s="16829"/>
      <c r="BH172" s="16829"/>
      <c r="BI172" s="16829"/>
      <c r="BJ172" s="16829"/>
      <c r="BK172" s="16830"/>
      <c r="BL172" s="16833"/>
      <c r="BM172" s="16818" t="s">
        <v>595</v>
      </c>
      <c r="BN172" s="16819"/>
      <c r="BO172" s="16820"/>
      <c r="BP172" s="16820" t="str">
        <f>IF(T172="","",T172)</f>
        <v>Наименование признака дифференциации</v>
      </c>
      <c r="BQ172" s="16820"/>
      <c r="BR172" s="16820"/>
      <c r="BS172" s="16821">
        <v>0</v>
      </c>
    </row>
    <row s="25120" customFormat="1" customHeight="1" ht="23.25">
      <c r="A173" s="16804"/>
      <c r="B173" s="16804"/>
      <c r="C173" s="16804"/>
      <c r="D173" s="16804"/>
      <c r="E173" s="16805"/>
      <c r="F173" s="16805" t="s">
        <v>129</v>
      </c>
      <c r="G173" s="16805"/>
      <c r="H173" s="16805"/>
      <c r="I173" s="16835"/>
      <c r="J173" s="16823" t="str">
        <f>I172&amp;".1"</f>
        <v>1.9.1.1.1</v>
      </c>
      <c r="K173" s="16804"/>
      <c r="L173" s="16807" t="s">
        <v>520</v>
      </c>
      <c r="M173" s="16824"/>
      <c r="N173" s="16824"/>
      <c r="O173" s="16824"/>
      <c r="P173" s="16825"/>
      <c r="Q173" s="16825">
        <v>1</v>
      </c>
      <c r="R173" s="16836"/>
      <c r="S173" s="16812" t="str">
        <f>$J173</f>
        <v>1.9.1.1.1</v>
      </c>
      <c r="T173" s="16837" t="s">
        <v>521</v>
      </c>
      <c r="U173" s="16814"/>
      <c r="V173" s="16838"/>
      <c r="W173" s="16839"/>
      <c r="X173" s="16839"/>
      <c r="Y173" s="16839"/>
      <c r="Z173" s="16839"/>
      <c r="AA173" s="16839"/>
      <c r="AB173" s="16840"/>
      <c r="AC173" s="16838" t="s">
        <v>607</v>
      </c>
      <c r="AD173" s="16839"/>
      <c r="AE173" s="16839"/>
      <c r="AF173" s="16839"/>
      <c r="AG173" s="16839"/>
      <c r="AH173" s="16839"/>
      <c r="AI173" s="16839"/>
      <c r="AJ173" s="16838"/>
      <c r="AK173" s="16839"/>
      <c r="AL173" s="16839"/>
      <c r="AM173" s="16839"/>
      <c r="AN173" s="16839"/>
      <c r="AO173" s="16839"/>
      <c r="AP173" s="16840"/>
      <c r="AQ173" s="16838"/>
      <c r="AR173" s="16839"/>
      <c r="AS173" s="16839"/>
      <c r="AT173" s="16839"/>
      <c r="AU173" s="16839"/>
      <c r="AV173" s="16839"/>
      <c r="AW173" s="16840"/>
      <c r="AX173" s="16838"/>
      <c r="AY173" s="16839"/>
      <c r="AZ173" s="16839"/>
      <c r="BA173" s="16839"/>
      <c r="BB173" s="16839"/>
      <c r="BC173" s="16839"/>
      <c r="BD173" s="16840"/>
      <c r="BE173" s="16838"/>
      <c r="BF173" s="16839"/>
      <c r="BG173" s="16839"/>
      <c r="BH173" s="16839"/>
      <c r="BI173" s="16839"/>
      <c r="BJ173" s="16839"/>
      <c r="BK173" s="16840"/>
      <c r="BL173" s="16840"/>
      <c r="BM173" s="16841" t="s">
        <v>596</v>
      </c>
      <c r="BN173" s="16819"/>
      <c r="BO173" s="16820"/>
      <c r="BP173" s="16820" t="str">
        <f>IF(T173="","",T173)</f>
        <v>Группа потребителей</v>
      </c>
      <c r="BQ173" s="16820"/>
      <c r="BR173" s="16820"/>
      <c r="BS173" s="16821">
        <v>0</v>
      </c>
    </row>
    <row s="25121" customFormat="1" customHeight="1" ht="23.25">
      <c r="A174" s="16804"/>
      <c r="B174" s="16804"/>
      <c r="C174" s="16804"/>
      <c r="D174" s="16804"/>
      <c r="E174" s="16805"/>
      <c r="F174" s="16805" t="s">
        <v>129</v>
      </c>
      <c r="G174" s="16805"/>
      <c r="H174" s="16805"/>
      <c r="I174" s="16835"/>
      <c r="J174" s="16835"/>
      <c r="K174" s="16823" t="str">
        <f>J173&amp;".1"</f>
        <v>1.9.1.1.1.1</v>
      </c>
      <c r="L174" s="16807"/>
      <c r="M174" s="16824"/>
      <c r="N174" s="16824"/>
      <c r="O174" s="16824"/>
      <c r="P174" s="16825"/>
      <c r="Q174" s="16825"/>
      <c r="R174" s="16836">
        <v>1</v>
      </c>
      <c r="S174" s="16812" t="str">
        <f>$K174</f>
        <v>1.9.1.1.1.1</v>
      </c>
      <c r="T174" s="16843" t="s">
        <v>590</v>
      </c>
      <c r="U174" s="16814"/>
      <c r="V174" s="16708"/>
      <c r="W174" s="16708"/>
      <c r="X174" s="16709"/>
      <c r="Y174" s="16710"/>
      <c r="Z174" s="16711" t="s">
        <v>66</v>
      </c>
      <c r="AA174" s="16710"/>
      <c r="AB174" s="16711" t="s">
        <v>66</v>
      </c>
      <c r="AC174" s="16844">
        <v>51.39</v>
      </c>
      <c r="AD174" s="16844"/>
      <c r="AE174" s="16845"/>
      <c r="AF174" s="16846">
        <v>45658.48894675926</v>
      </c>
      <c r="AG174" s="16847" t="s">
        <v>66</v>
      </c>
      <c r="AH174" s="16712">
        <v>46022.48903935185</v>
      </c>
      <c r="AI174" s="16847" t="s">
        <v>66</v>
      </c>
      <c r="AJ174" s="16844">
        <v>48.43</v>
      </c>
      <c r="AK174" s="16844"/>
      <c r="AL174" s="16845"/>
      <c r="AM174" s="16846">
        <v>46023.49594907407</v>
      </c>
      <c r="AN174" s="16847" t="s">
        <v>66</v>
      </c>
      <c r="AO174" s="16846">
        <v>46387.496041666665</v>
      </c>
      <c r="AP174" s="16847" t="s">
        <v>66</v>
      </c>
      <c r="AQ174" s="16844">
        <v>49.81</v>
      </c>
      <c r="AR174" s="16844"/>
      <c r="AS174" s="16845"/>
      <c r="AT174" s="16846">
        <v>46388.50809027778</v>
      </c>
      <c r="AU174" s="16847" t="s">
        <v>66</v>
      </c>
      <c r="AV174" s="16846">
        <v>46752.50819444445</v>
      </c>
      <c r="AW174" s="16847" t="s">
        <v>66</v>
      </c>
      <c r="AX174" s="16844">
        <v>51.24</v>
      </c>
      <c r="AY174" s="16844"/>
      <c r="AZ174" s="16845"/>
      <c r="BA174" s="16846">
        <v>46753.508472222224</v>
      </c>
      <c r="BB174" s="16847" t="s">
        <v>66</v>
      </c>
      <c r="BC174" s="16846">
        <v>47118.50858796296</v>
      </c>
      <c r="BD174" s="16847" t="s">
        <v>19</v>
      </c>
      <c r="BE174" s="16708"/>
      <c r="BF174" s="16708"/>
      <c r="BG174" s="16709"/>
      <c r="BH174" s="16710"/>
      <c r="BI174" s="16711" t="s">
        <v>66</v>
      </c>
      <c r="BJ174" s="16710"/>
      <c r="BK174" s="16711" t="s">
        <v>66</v>
      </c>
      <c r="BL174" s="16848"/>
      <c r="BM174"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74" s="16819">
        <f>STRCHECKDATE(V175:BL175)</f>
      </c>
      <c r="BO174" s="16820"/>
      <c r="BP174" s="16820" t="str">
        <f>IF(T174="","",T174)</f>
        <v>без НДС</v>
      </c>
      <c r="BQ174" s="16820"/>
      <c r="BR174" s="16820"/>
      <c r="BS174" s="16821">
        <v>0</v>
      </c>
    </row>
    <row s="25122" customFormat="1" customHeight="1" ht="14.25">
      <c r="A175" s="16804"/>
      <c r="B175" s="16804"/>
      <c r="C175" s="16804"/>
      <c r="D175" s="16804"/>
      <c r="E175" s="16805"/>
      <c r="F175" s="16805" t="s">
        <v>129</v>
      </c>
      <c r="G175" s="16805"/>
      <c r="H175" s="16805"/>
      <c r="I175" s="16835"/>
      <c r="J175" s="16835"/>
      <c r="K175" s="16823"/>
      <c r="L175" s="16807"/>
      <c r="M175" s="16824"/>
      <c r="N175" s="16824"/>
      <c r="O175" s="16824"/>
      <c r="P175" s="16825"/>
      <c r="Q175" s="16825"/>
      <c r="R175" s="16836"/>
      <c r="S175" s="16851"/>
      <c r="T175" s="16814"/>
      <c r="U175" s="16814"/>
      <c r="V175" s="16708"/>
      <c r="W175" s="16708"/>
      <c r="X175" s="16716" t="str">
        <f>Y174&amp;"-"&amp;AA174</f>
        <v>-</v>
      </c>
      <c r="Y175" s="16711"/>
      <c r="Z175" s="16711"/>
      <c r="AA175" s="16711"/>
      <c r="AB175" s="16711"/>
      <c r="AC175" s="16852"/>
      <c r="AD175" s="16852"/>
      <c r="AE175" s="16716" t="str">
        <f>AF174&amp;"-"&amp;AH174</f>
        <v>45658.48894675926-46022.48903935185</v>
      </c>
      <c r="AF175" s="16853"/>
      <c r="AG175" s="16847"/>
      <c r="AH175" s="16854"/>
      <c r="AI175" s="16847"/>
      <c r="AJ175" s="16852"/>
      <c r="AK175" s="16852"/>
      <c r="AL175" s="16716" t="str">
        <f>AM174&amp;"-"&amp;AO174</f>
        <v>46023.49594907407-46387.496041666665</v>
      </c>
      <c r="AM175" s="16853"/>
      <c r="AN175" s="16847"/>
      <c r="AO175" s="16853"/>
      <c r="AP175" s="16847"/>
      <c r="AQ175" s="16852"/>
      <c r="AR175" s="16852"/>
      <c r="AS175" s="16716" t="str">
        <f>AT174&amp;"-"&amp;AV174</f>
        <v>46388.50809027778-46752.50819444445</v>
      </c>
      <c r="AT175" s="16853"/>
      <c r="AU175" s="16847"/>
      <c r="AV175" s="16853"/>
      <c r="AW175" s="16847"/>
      <c r="AX175" s="16852"/>
      <c r="AY175" s="16852"/>
      <c r="AZ175" s="16716" t="str">
        <f>BA174&amp;"-"&amp;BC174</f>
        <v>46753.508472222224-47118.50858796296</v>
      </c>
      <c r="BA175" s="16853"/>
      <c r="BB175" s="16847"/>
      <c r="BC175" s="16853"/>
      <c r="BD175" s="16847"/>
      <c r="BE175" s="16708"/>
      <c r="BF175" s="16708"/>
      <c r="BG175" s="16716" t="str">
        <f>BH174&amp;"-"&amp;BJ174</f>
        <v>-</v>
      </c>
      <c r="BH175" s="16711"/>
      <c r="BI175" s="16711"/>
      <c r="BJ175" s="16711"/>
      <c r="BK175" s="16711"/>
      <c r="BL175" s="16855"/>
      <c r="BM175" s="16849"/>
      <c r="BN175" s="16819"/>
      <c r="BO175" s="16820"/>
      <c r="BP175" s="16820" t="str">
        <f>IF(T175="","",T175)</f>
        <v/>
      </c>
      <c r="BQ175" s="16820"/>
      <c r="BR175" s="16820"/>
      <c r="BS175" s="16821">
        <v>0</v>
      </c>
    </row>
    <row s="25123" customFormat="1" customHeight="1" ht="21">
      <c r="A176" s="16804"/>
      <c r="B176" s="16804"/>
      <c r="C176" s="16804"/>
      <c r="D176" s="16804"/>
      <c r="E176" s="16805"/>
      <c r="F176" s="16805" t="s">
        <v>129</v>
      </c>
      <c r="G176" s="16805"/>
      <c r="H176" s="16805"/>
      <c r="I176" s="16835"/>
      <c r="J176" s="16823"/>
      <c r="K176" s="16804"/>
      <c r="L176" s="16807"/>
      <c r="M176" s="16824"/>
      <c r="N176" s="16824"/>
      <c r="O176" s="16824"/>
      <c r="P176" s="16825"/>
      <c r="Q176" s="16825"/>
      <c r="R176" s="16826"/>
      <c r="S176" s="18857"/>
      <c r="T176" s="18858" t="s">
        <v>597</v>
      </c>
      <c r="U176" s="18859"/>
      <c r="V176" s="18860"/>
      <c r="W176" s="18861"/>
      <c r="X176" s="18862"/>
      <c r="Y176" s="18863"/>
      <c r="Z176" s="18864"/>
      <c r="AA176" s="18865"/>
      <c r="AB176" s="18866"/>
      <c r="AC176" s="18867"/>
      <c r="AD176" s="18868"/>
      <c r="AE176" s="18869"/>
      <c r="AF176" s="18870"/>
      <c r="AG176" s="18871"/>
      <c r="AH176" s="18872"/>
      <c r="AI176" s="18873"/>
      <c r="AJ176" s="18874"/>
      <c r="AK176" s="18875"/>
      <c r="AL176" s="18876"/>
      <c r="AM176" s="18877"/>
      <c r="AN176" s="18878"/>
      <c r="AO176" s="18879"/>
      <c r="AP176" s="18880"/>
      <c r="AQ176" s="18881"/>
      <c r="AR176" s="18882"/>
      <c r="AS176" s="18883"/>
      <c r="AT176" s="18884"/>
      <c r="AU176" s="18885"/>
      <c r="AV176" s="18886"/>
      <c r="AW176" s="18887"/>
      <c r="AX176" s="18888"/>
      <c r="AY176" s="18889"/>
      <c r="AZ176" s="18890"/>
      <c r="BA176" s="18891"/>
      <c r="BB176" s="18892"/>
      <c r="BC176" s="18893"/>
      <c r="BD176" s="18894"/>
      <c r="BE176" s="18895"/>
      <c r="BF176" s="18896"/>
      <c r="BG176" s="18897"/>
      <c r="BH176" s="18898"/>
      <c r="BI176" s="18899"/>
      <c r="BJ176" s="18900"/>
      <c r="BK176" s="18901"/>
      <c r="BL176" s="18902"/>
      <c r="BM176" s="16818" t="s">
        <v>598</v>
      </c>
      <c r="BN176" s="16819"/>
      <c r="BO176" s="16820"/>
      <c r="BP176" s="16820" t="str">
        <f>IF(T176="","",T176)</f>
        <v>Добавить значение признака дифференциации</v>
      </c>
      <c r="BQ176" s="16820"/>
      <c r="BR176" s="16820"/>
      <c r="BS176" s="16821">
        <v>0</v>
      </c>
    </row>
    <row s="25170" customFormat="1" customHeight="1" ht="21">
      <c r="A177" s="16804"/>
      <c r="B177" s="16804"/>
      <c r="C177" s="16804"/>
      <c r="D177" s="16804"/>
      <c r="E177" s="16805"/>
      <c r="F177" s="16805" t="s">
        <v>129</v>
      </c>
      <c r="G177" s="16805"/>
      <c r="H177" s="16805"/>
      <c r="I177" s="16823"/>
      <c r="J177" s="16804"/>
      <c r="K177" s="16804"/>
      <c r="L177" s="16807"/>
      <c r="M177" s="16824"/>
      <c r="N177" s="16824"/>
      <c r="O177" s="16824"/>
      <c r="P177" s="16825"/>
      <c r="Q177" s="16825"/>
      <c r="R177" s="16826"/>
      <c r="S177" s="18904"/>
      <c r="T177" s="18905" t="s">
        <v>526</v>
      </c>
      <c r="U177" s="18906"/>
      <c r="V177" s="18907"/>
      <c r="W177" s="18908"/>
      <c r="X177" s="18909"/>
      <c r="Y177" s="18910"/>
      <c r="Z177" s="18911"/>
      <c r="AA177" s="18912"/>
      <c r="AB177" s="18913"/>
      <c r="AC177" s="18914"/>
      <c r="AD177" s="18915"/>
      <c r="AE177" s="18916"/>
      <c r="AF177" s="18917"/>
      <c r="AG177" s="18918"/>
      <c r="AH177" s="18919"/>
      <c r="AI177" s="18920"/>
      <c r="AJ177" s="18921"/>
      <c r="AK177" s="18922"/>
      <c r="AL177" s="18923"/>
      <c r="AM177" s="18924"/>
      <c r="AN177" s="18925"/>
      <c r="AO177" s="18926"/>
      <c r="AP177" s="18927"/>
      <c r="AQ177" s="18928"/>
      <c r="AR177" s="18929"/>
      <c r="AS177" s="18930"/>
      <c r="AT177" s="18931"/>
      <c r="AU177" s="18932"/>
      <c r="AV177" s="18933"/>
      <c r="AW177" s="18934"/>
      <c r="AX177" s="18935"/>
      <c r="AY177" s="18936"/>
      <c r="AZ177" s="18937"/>
      <c r="BA177" s="18938"/>
      <c r="BB177" s="18939"/>
      <c r="BC177" s="18940"/>
      <c r="BD177" s="18941"/>
      <c r="BE177" s="18942"/>
      <c r="BF177" s="18943"/>
      <c r="BG177" s="18944"/>
      <c r="BH177" s="18945"/>
      <c r="BI177" s="18946"/>
      <c r="BJ177" s="18947"/>
      <c r="BK177" s="18948"/>
      <c r="BL177" s="18949"/>
      <c r="BM177" s="18950"/>
      <c r="BN177" s="16819"/>
      <c r="BO177" s="16820"/>
      <c r="BP177" s="16820" t="str">
        <f>IF(T177="","",T177)</f>
        <v>Добавить группу потребителей</v>
      </c>
      <c r="BQ177" s="16820"/>
      <c r="BR177" s="16820"/>
      <c r="BS177" s="16821">
        <v>0</v>
      </c>
    </row>
    <row s="25218" customFormat="1" customHeight="1" ht="14.25">
      <c r="A178" s="16804"/>
      <c r="B178" s="16804"/>
      <c r="C178" s="16804"/>
      <c r="D178" s="16804"/>
      <c r="E178" s="16805"/>
      <c r="F178" s="16805" t="s">
        <v>129</v>
      </c>
      <c r="G178" s="16805"/>
      <c r="H178" s="16806"/>
      <c r="I178" s="16804"/>
      <c r="J178" s="16804"/>
      <c r="K178" s="16804"/>
      <c r="L178" s="16807"/>
      <c r="M178" s="16808"/>
      <c r="N178" s="16808"/>
      <c r="O178" s="16952"/>
      <c r="P178" s="16953"/>
      <c r="Q178" s="16954"/>
      <c r="R178" s="16955"/>
      <c r="S178" s="18952"/>
      <c r="T178" s="18953" t="s">
        <v>599</v>
      </c>
      <c r="U178" s="18954"/>
      <c r="V178" s="18955"/>
      <c r="W178" s="18956"/>
      <c r="X178" s="18957"/>
      <c r="Y178" s="18958"/>
      <c r="Z178" s="18959"/>
      <c r="AA178" s="18960"/>
      <c r="AB178" s="18961"/>
      <c r="AC178" s="18962"/>
      <c r="AD178" s="18963"/>
      <c r="AE178" s="18964"/>
      <c r="AF178" s="18965"/>
      <c r="AG178" s="18966"/>
      <c r="AH178" s="18967"/>
      <c r="AI178" s="18968"/>
      <c r="AJ178" s="18969"/>
      <c r="AK178" s="18970"/>
      <c r="AL178" s="18971"/>
      <c r="AM178" s="18972"/>
      <c r="AN178" s="18973"/>
      <c r="AO178" s="18974"/>
      <c r="AP178" s="18975"/>
      <c r="AQ178" s="18976"/>
      <c r="AR178" s="18977"/>
      <c r="AS178" s="18978"/>
      <c r="AT178" s="18979"/>
      <c r="AU178" s="18980"/>
      <c r="AV178" s="18981"/>
      <c r="AW178" s="18982"/>
      <c r="AX178" s="18983"/>
      <c r="AY178" s="18984"/>
      <c r="AZ178" s="18985"/>
      <c r="BA178" s="18986"/>
      <c r="BB178" s="18987"/>
      <c r="BC178" s="18988"/>
      <c r="BD178" s="18989"/>
      <c r="BE178" s="18990"/>
      <c r="BF178" s="18991"/>
      <c r="BG178" s="18992"/>
      <c r="BH178" s="18993"/>
      <c r="BI178" s="18994"/>
      <c r="BJ178" s="18995"/>
      <c r="BK178" s="18996"/>
      <c r="BL178" s="18997"/>
      <c r="BM178" s="18998"/>
      <c r="BN178" s="16819"/>
      <c r="BO178" s="16820"/>
      <c r="BP178" s="16820" t="str">
        <f>IF(T178="","",T178)</f>
        <v>Добавить наименование признака дифференциации</v>
      </c>
      <c r="BQ178" s="16820"/>
      <c r="BR178" s="16820"/>
      <c r="BS178" s="16821">
        <v>0</v>
      </c>
    </row>
    <row s="25266" customFormat="1" customHeight="1" ht="23.25">
      <c r="A179" s="16804"/>
      <c r="B179" s="16804"/>
      <c r="C179" s="16804" t="s">
        <v>320</v>
      </c>
      <c r="D179" s="16804"/>
      <c r="E179" s="16805"/>
      <c r="F179" s="16805"/>
      <c r="G179" s="16806" t="s">
        <v>103</v>
      </c>
      <c r="H179" s="16804"/>
      <c r="I179" s="16804"/>
      <c r="J179" s="16804"/>
      <c r="K179" s="16804"/>
      <c r="L179" s="16807"/>
      <c r="M179" s="16808"/>
      <c r="N179" s="16808"/>
      <c r="O179" s="16808"/>
      <c r="P179" s="16809"/>
      <c r="Q179" s="16810"/>
      <c r="R179" s="16811"/>
      <c r="S179" s="16812" t="str">
        <f>INDEX(PT_DIFFERENTIATION_NUM_CS,MATCH(C179,PT_DIFFERENTIATION_CS_ID,0))</f>
        <v>1.9.2</v>
      </c>
      <c r="T179" s="16813" t="s">
        <v>592</v>
      </c>
      <c r="U179" s="16814"/>
      <c r="V179" s="16815"/>
      <c r="W179" s="16816"/>
      <c r="X179" s="16816"/>
      <c r="Y179" s="16816"/>
      <c r="Z179" s="16816"/>
      <c r="AA179" s="16816"/>
      <c r="AB179" s="16817"/>
      <c r="AC179" s="16815" t="str">
        <f>INDEX(PT_DIFFERENTIATION_CS,MATCH(C179,PT_DIFFERENTIATION_CS_ID,0))</f>
        <v>ГО Спасск-Дальний МКР им. С.Лазо</v>
      </c>
      <c r="AD179" s="16816"/>
      <c r="AE179" s="16816"/>
      <c r="AF179" s="16816"/>
      <c r="AG179" s="16816"/>
      <c r="AH179" s="16816"/>
      <c r="AI179" s="16816"/>
      <c r="AJ179" s="16815"/>
      <c r="AK179" s="16816"/>
      <c r="AL179" s="16816"/>
      <c r="AM179" s="16816"/>
      <c r="AN179" s="16816"/>
      <c r="AO179" s="16816"/>
      <c r="AP179" s="16817"/>
      <c r="AQ179" s="16815"/>
      <c r="AR179" s="16816"/>
      <c r="AS179" s="16816"/>
      <c r="AT179" s="16816"/>
      <c r="AU179" s="16816"/>
      <c r="AV179" s="16816"/>
      <c r="AW179" s="16817"/>
      <c r="AX179" s="16815"/>
      <c r="AY179" s="16816"/>
      <c r="AZ179" s="16816"/>
      <c r="BA179" s="16816"/>
      <c r="BB179" s="16816"/>
      <c r="BC179" s="16816"/>
      <c r="BD179" s="16817"/>
      <c r="BE179" s="16815"/>
      <c r="BF179" s="16816"/>
      <c r="BG179" s="16816"/>
      <c r="BH179" s="16816"/>
      <c r="BI179" s="16816"/>
      <c r="BJ179" s="16816"/>
      <c r="BK179" s="16817"/>
      <c r="BL179" s="16817"/>
      <c r="BM179" s="16818" t="s">
        <v>593</v>
      </c>
      <c r="BN179" s="16819"/>
      <c r="BO179" s="16820"/>
      <c r="BP179" s="16820" t="str">
        <f>IF(T179="","",T179)</f>
        <v>Наименование централизованной системы холодного водоснабжения</v>
      </c>
      <c r="BQ179" s="16820"/>
      <c r="BR179" s="16820"/>
      <c r="BS179" s="16821">
        <v>0</v>
      </c>
    </row>
    <row s="25267" customFormat="1" customHeight="1" ht="23.25">
      <c r="A180" s="16804"/>
      <c r="B180" s="16804"/>
      <c r="C180" s="16804"/>
      <c r="D180" s="16804"/>
      <c r="E180" s="16805"/>
      <c r="F180" s="16805"/>
      <c r="G180" s="16805">
        <v>1</v>
      </c>
      <c r="H180" s="16805"/>
      <c r="I180" s="16823" t="str">
        <f>S179&amp;".1"</f>
        <v>1.9.2.1</v>
      </c>
      <c r="J180" s="16804"/>
      <c r="K180" s="16804"/>
      <c r="L180" s="16807"/>
      <c r="M180" s="16824"/>
      <c r="N180" s="16824"/>
      <c r="O180" s="16824"/>
      <c r="P180" s="16825">
        <v>1</v>
      </c>
      <c r="Q180" s="16825"/>
      <c r="R180" s="16826"/>
      <c r="S180" s="16812" t="str">
        <f>$I180</f>
        <v>1.9.2.1</v>
      </c>
      <c r="T180" s="16827" t="s">
        <v>594</v>
      </c>
      <c r="U180" s="16814"/>
      <c r="V180" s="16828"/>
      <c r="W180" s="16829"/>
      <c r="X180" s="16829"/>
      <c r="Y180" s="16829"/>
      <c r="Z180" s="16829"/>
      <c r="AA180" s="16829"/>
      <c r="AB180" s="16830"/>
      <c r="AC180" s="16831"/>
      <c r="AD180" s="16832"/>
      <c r="AE180" s="16832"/>
      <c r="AF180" s="16832"/>
      <c r="AG180" s="16832"/>
      <c r="AH180" s="16832"/>
      <c r="AI180" s="16832"/>
      <c r="AJ180" s="16828"/>
      <c r="AK180" s="16829"/>
      <c r="AL180" s="16829"/>
      <c r="AM180" s="16829"/>
      <c r="AN180" s="16829"/>
      <c r="AO180" s="16829"/>
      <c r="AP180" s="16830"/>
      <c r="AQ180" s="16828"/>
      <c r="AR180" s="16829"/>
      <c r="AS180" s="16829"/>
      <c r="AT180" s="16829"/>
      <c r="AU180" s="16829"/>
      <c r="AV180" s="16829"/>
      <c r="AW180" s="16830"/>
      <c r="AX180" s="16828"/>
      <c r="AY180" s="16829"/>
      <c r="AZ180" s="16829"/>
      <c r="BA180" s="16829"/>
      <c r="BB180" s="16829"/>
      <c r="BC180" s="16829"/>
      <c r="BD180" s="16830"/>
      <c r="BE180" s="16828"/>
      <c r="BF180" s="16829"/>
      <c r="BG180" s="16829"/>
      <c r="BH180" s="16829"/>
      <c r="BI180" s="16829"/>
      <c r="BJ180" s="16829"/>
      <c r="BK180" s="16830"/>
      <c r="BL180" s="16833"/>
      <c r="BM180" s="16818" t="s">
        <v>595</v>
      </c>
      <c r="BN180" s="16819"/>
      <c r="BO180" s="16820"/>
      <c r="BP180" s="16820" t="str">
        <f>IF(T180="","",T180)</f>
        <v>Наименование признака дифференциации</v>
      </c>
      <c r="BQ180" s="16820"/>
      <c r="BR180" s="16820"/>
      <c r="BS180" s="16821">
        <v>0</v>
      </c>
    </row>
    <row s="25268" customFormat="1" customHeight="1" ht="23.25">
      <c r="A181" s="16804"/>
      <c r="B181" s="16804"/>
      <c r="C181" s="16804"/>
      <c r="D181" s="16804"/>
      <c r="E181" s="16805"/>
      <c r="F181" s="16805"/>
      <c r="G181" s="16805">
        <v>1</v>
      </c>
      <c r="H181" s="16805"/>
      <c r="I181" s="16835"/>
      <c r="J181" s="16823" t="str">
        <f>I180&amp;".1"</f>
        <v>1.9.2.1.1</v>
      </c>
      <c r="K181" s="16804"/>
      <c r="L181" s="16807" t="s">
        <v>520</v>
      </c>
      <c r="M181" s="16824"/>
      <c r="N181" s="16824"/>
      <c r="O181" s="16824"/>
      <c r="P181" s="16825"/>
      <c r="Q181" s="16825">
        <v>1</v>
      </c>
      <c r="R181" s="16836"/>
      <c r="S181" s="16812" t="str">
        <f>$J181</f>
        <v>1.9.2.1.1</v>
      </c>
      <c r="T181" s="16837" t="s">
        <v>521</v>
      </c>
      <c r="U181" s="16814"/>
      <c r="V181" s="16838"/>
      <c r="W181" s="16839"/>
      <c r="X181" s="16839"/>
      <c r="Y181" s="16839"/>
      <c r="Z181" s="16839"/>
      <c r="AA181" s="16839"/>
      <c r="AB181" s="16840"/>
      <c r="AC181" s="16838" t="s">
        <v>607</v>
      </c>
      <c r="AD181" s="16839"/>
      <c r="AE181" s="16839"/>
      <c r="AF181" s="16839"/>
      <c r="AG181" s="16839"/>
      <c r="AH181" s="16839"/>
      <c r="AI181" s="16839"/>
      <c r="AJ181" s="16838"/>
      <c r="AK181" s="16839"/>
      <c r="AL181" s="16839"/>
      <c r="AM181" s="16839"/>
      <c r="AN181" s="16839"/>
      <c r="AO181" s="16839"/>
      <c r="AP181" s="16840"/>
      <c r="AQ181" s="16838"/>
      <c r="AR181" s="16839"/>
      <c r="AS181" s="16839"/>
      <c r="AT181" s="16839"/>
      <c r="AU181" s="16839"/>
      <c r="AV181" s="16839"/>
      <c r="AW181" s="16840"/>
      <c r="AX181" s="16838"/>
      <c r="AY181" s="16839"/>
      <c r="AZ181" s="16839"/>
      <c r="BA181" s="16839"/>
      <c r="BB181" s="16839"/>
      <c r="BC181" s="16839"/>
      <c r="BD181" s="16840"/>
      <c r="BE181" s="16838"/>
      <c r="BF181" s="16839"/>
      <c r="BG181" s="16839"/>
      <c r="BH181" s="16839"/>
      <c r="BI181" s="16839"/>
      <c r="BJ181" s="16839"/>
      <c r="BK181" s="16840"/>
      <c r="BL181" s="16840"/>
      <c r="BM181" s="16841" t="s">
        <v>596</v>
      </c>
      <c r="BN181" s="16819"/>
      <c r="BO181" s="16820"/>
      <c r="BP181" s="16820" t="str">
        <f>IF(T181="","",T181)</f>
        <v>Группа потребителей</v>
      </c>
      <c r="BQ181" s="16820"/>
      <c r="BR181" s="16820"/>
      <c r="BS181" s="16821">
        <v>0</v>
      </c>
    </row>
    <row s="25269" customFormat="1" customHeight="1" ht="23.25">
      <c r="A182" s="16804"/>
      <c r="B182" s="16804"/>
      <c r="C182" s="16804"/>
      <c r="D182" s="16804"/>
      <c r="E182" s="16805"/>
      <c r="F182" s="16805"/>
      <c r="G182" s="16805">
        <v>1</v>
      </c>
      <c r="H182" s="16805"/>
      <c r="I182" s="16835"/>
      <c r="J182" s="16835"/>
      <c r="K182" s="16823" t="str">
        <f>J181&amp;".1"</f>
        <v>1.9.2.1.1.1</v>
      </c>
      <c r="L182" s="16807"/>
      <c r="M182" s="16824"/>
      <c r="N182" s="16824"/>
      <c r="O182" s="16824"/>
      <c r="P182" s="16825"/>
      <c r="Q182" s="16825"/>
      <c r="R182" s="16836">
        <v>1</v>
      </c>
      <c r="S182" s="16812" t="str">
        <f>$K182</f>
        <v>1.9.2.1.1.1</v>
      </c>
      <c r="T182" s="16843" t="s">
        <v>590</v>
      </c>
      <c r="U182" s="16814"/>
      <c r="V182" s="16708"/>
      <c r="W182" s="16708"/>
      <c r="X182" s="16709"/>
      <c r="Y182" s="16710"/>
      <c r="Z182" s="16711" t="s">
        <v>66</v>
      </c>
      <c r="AA182" s="16710"/>
      <c r="AB182" s="16711" t="s">
        <v>66</v>
      </c>
      <c r="AC182" s="16844">
        <v>39.87</v>
      </c>
      <c r="AD182" s="16844"/>
      <c r="AE182" s="16845"/>
      <c r="AF182" s="16846">
        <v>45658.48918981481</v>
      </c>
      <c r="AG182" s="16847" t="s">
        <v>66</v>
      </c>
      <c r="AH182" s="16712">
        <v>46022.48929398148</v>
      </c>
      <c r="AI182" s="16847" t="s">
        <v>66</v>
      </c>
      <c r="AJ182" s="16844">
        <v>37.39</v>
      </c>
      <c r="AK182" s="16844"/>
      <c r="AL182" s="16845"/>
      <c r="AM182" s="16846">
        <v>46023.496145833335</v>
      </c>
      <c r="AN182" s="16847" t="s">
        <v>66</v>
      </c>
      <c r="AO182" s="16846">
        <v>46387.49625</v>
      </c>
      <c r="AP182" s="16847" t="s">
        <v>66</v>
      </c>
      <c r="AQ182" s="16844">
        <v>38.46</v>
      </c>
      <c r="AR182" s="16844"/>
      <c r="AS182" s="16845"/>
      <c r="AT182" s="16846">
        <v>46388.50877314815</v>
      </c>
      <c r="AU182" s="16847" t="s">
        <v>66</v>
      </c>
      <c r="AV182" s="16846">
        <v>46752.508877314816</v>
      </c>
      <c r="AW182" s="16847" t="s">
        <v>66</v>
      </c>
      <c r="AX182" s="16844">
        <v>39.56</v>
      </c>
      <c r="AY182" s="16844"/>
      <c r="AZ182" s="16845"/>
      <c r="BA182" s="16846">
        <v>46753.50833333333</v>
      </c>
      <c r="BB182" s="16847" t="s">
        <v>66</v>
      </c>
      <c r="BC182" s="16846">
        <v>47118.50952546296</v>
      </c>
      <c r="BD182" s="16847" t="s">
        <v>19</v>
      </c>
      <c r="BE182" s="16708"/>
      <c r="BF182" s="16708"/>
      <c r="BG182" s="16709"/>
      <c r="BH182" s="16710"/>
      <c r="BI182" s="16711" t="s">
        <v>66</v>
      </c>
      <c r="BJ182" s="16710"/>
      <c r="BK182" s="16711" t="s">
        <v>66</v>
      </c>
      <c r="BL182" s="16848"/>
      <c r="BM182"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82" s="16819">
        <f>STRCHECKDATE(V183:BL183)</f>
      </c>
      <c r="BO182" s="16820"/>
      <c r="BP182" s="16820" t="str">
        <f>IF(T182="","",T182)</f>
        <v>без НДС</v>
      </c>
      <c r="BQ182" s="16820"/>
      <c r="BR182" s="16820"/>
      <c r="BS182" s="16821">
        <v>0</v>
      </c>
    </row>
    <row s="25270" customFormat="1" customHeight="1" ht="14.25">
      <c r="A183" s="16804"/>
      <c r="B183" s="16804"/>
      <c r="C183" s="16804"/>
      <c r="D183" s="16804"/>
      <c r="E183" s="16805"/>
      <c r="F183" s="16805"/>
      <c r="G183" s="16805">
        <v>1</v>
      </c>
      <c r="H183" s="16805"/>
      <c r="I183" s="16835"/>
      <c r="J183" s="16835"/>
      <c r="K183" s="16823"/>
      <c r="L183" s="16807"/>
      <c r="M183" s="16824"/>
      <c r="N183" s="16824"/>
      <c r="O183" s="16824"/>
      <c r="P183" s="16825"/>
      <c r="Q183" s="16825"/>
      <c r="R183" s="16836"/>
      <c r="S183" s="16851"/>
      <c r="T183" s="16814"/>
      <c r="U183" s="16814"/>
      <c r="V183" s="16708"/>
      <c r="W183" s="16708"/>
      <c r="X183" s="16716" t="str">
        <f>Y182&amp;"-"&amp;AA182</f>
        <v>-</v>
      </c>
      <c r="Y183" s="16711"/>
      <c r="Z183" s="16711"/>
      <c r="AA183" s="16711"/>
      <c r="AB183" s="16711"/>
      <c r="AC183" s="16852"/>
      <c r="AD183" s="16852"/>
      <c r="AE183" s="16716" t="str">
        <f>AF182&amp;"-"&amp;AH182</f>
        <v>45658.48918981481-46022.48929398148</v>
      </c>
      <c r="AF183" s="16853"/>
      <c r="AG183" s="16847"/>
      <c r="AH183" s="16854"/>
      <c r="AI183" s="16847"/>
      <c r="AJ183" s="16852"/>
      <c r="AK183" s="16852"/>
      <c r="AL183" s="16716" t="str">
        <f>AM182&amp;"-"&amp;AO182</f>
        <v>46023.496145833335-46387.49625</v>
      </c>
      <c r="AM183" s="16853"/>
      <c r="AN183" s="16847"/>
      <c r="AO183" s="16853"/>
      <c r="AP183" s="16847"/>
      <c r="AQ183" s="16852"/>
      <c r="AR183" s="16852"/>
      <c r="AS183" s="16716" t="str">
        <f>AT182&amp;"-"&amp;AV182</f>
        <v>46388.50877314815-46752.508877314816</v>
      </c>
      <c r="AT183" s="16853"/>
      <c r="AU183" s="16847"/>
      <c r="AV183" s="16853"/>
      <c r="AW183" s="16847"/>
      <c r="AX183" s="16852"/>
      <c r="AY183" s="16852"/>
      <c r="AZ183" s="16716" t="str">
        <f>BA182&amp;"-"&amp;BC182</f>
        <v>46753.50833333333-47118.50952546296</v>
      </c>
      <c r="BA183" s="16853"/>
      <c r="BB183" s="16847"/>
      <c r="BC183" s="16853"/>
      <c r="BD183" s="16847"/>
      <c r="BE183" s="16708"/>
      <c r="BF183" s="16708"/>
      <c r="BG183" s="16716" t="str">
        <f>BH182&amp;"-"&amp;BJ182</f>
        <v>-</v>
      </c>
      <c r="BH183" s="16711"/>
      <c r="BI183" s="16711"/>
      <c r="BJ183" s="16711"/>
      <c r="BK183" s="16711"/>
      <c r="BL183" s="16855"/>
      <c r="BM183" s="16849"/>
      <c r="BN183" s="16819"/>
      <c r="BO183" s="16820"/>
      <c r="BP183" s="16820" t="str">
        <f>IF(T183="","",T183)</f>
        <v/>
      </c>
      <c r="BQ183" s="16820"/>
      <c r="BR183" s="16820"/>
      <c r="BS183" s="16821">
        <v>0</v>
      </c>
    </row>
    <row s="25271" customFormat="1" customHeight="1" ht="21">
      <c r="A184" s="16804"/>
      <c r="B184" s="16804"/>
      <c r="C184" s="16804"/>
      <c r="D184" s="16804"/>
      <c r="E184" s="16805"/>
      <c r="F184" s="16805"/>
      <c r="G184" s="16805">
        <v>1</v>
      </c>
      <c r="H184" s="16805"/>
      <c r="I184" s="16835"/>
      <c r="J184" s="16823"/>
      <c r="K184" s="16804"/>
      <c r="L184" s="16807"/>
      <c r="M184" s="16824"/>
      <c r="N184" s="16824"/>
      <c r="O184" s="16824"/>
      <c r="P184" s="16825"/>
      <c r="Q184" s="16825"/>
      <c r="R184" s="16826"/>
      <c r="S184" s="19005"/>
      <c r="T184" s="19006" t="s">
        <v>597</v>
      </c>
      <c r="U184" s="19007"/>
      <c r="V184" s="19008"/>
      <c r="W184" s="19009"/>
      <c r="X184" s="19010"/>
      <c r="Y184" s="19011"/>
      <c r="Z184" s="19012"/>
      <c r="AA184" s="19013"/>
      <c r="AB184" s="19014"/>
      <c r="AC184" s="19015"/>
      <c r="AD184" s="19016"/>
      <c r="AE184" s="19017"/>
      <c r="AF184" s="19018"/>
      <c r="AG184" s="19019"/>
      <c r="AH184" s="19020"/>
      <c r="AI184" s="19021"/>
      <c r="AJ184" s="19022"/>
      <c r="AK184" s="19023"/>
      <c r="AL184" s="19024"/>
      <c r="AM184" s="19025"/>
      <c r="AN184" s="19026"/>
      <c r="AO184" s="19027"/>
      <c r="AP184" s="19028"/>
      <c r="AQ184" s="19029"/>
      <c r="AR184" s="19030"/>
      <c r="AS184" s="19031"/>
      <c r="AT184" s="19032"/>
      <c r="AU184" s="19033"/>
      <c r="AV184" s="19034"/>
      <c r="AW184" s="19035"/>
      <c r="AX184" s="19036"/>
      <c r="AY184" s="19037"/>
      <c r="AZ184" s="19038"/>
      <c r="BA184" s="19039"/>
      <c r="BB184" s="19040"/>
      <c r="BC184" s="19041"/>
      <c r="BD184" s="19042"/>
      <c r="BE184" s="19043"/>
      <c r="BF184" s="19044"/>
      <c r="BG184" s="19045"/>
      <c r="BH184" s="19046"/>
      <c r="BI184" s="19047"/>
      <c r="BJ184" s="19048"/>
      <c r="BK184" s="19049"/>
      <c r="BL184" s="19050"/>
      <c r="BM184" s="16818" t="s">
        <v>598</v>
      </c>
      <c r="BN184" s="16819"/>
      <c r="BO184" s="16820"/>
      <c r="BP184" s="16820" t="str">
        <f>IF(T184="","",T184)</f>
        <v>Добавить значение признака дифференциации</v>
      </c>
      <c r="BQ184" s="16820"/>
      <c r="BR184" s="16820"/>
      <c r="BS184" s="16821">
        <v>0</v>
      </c>
    </row>
    <row s="25318" customFormat="1" customHeight="1" ht="21">
      <c r="A185" s="16804"/>
      <c r="B185" s="16804"/>
      <c r="C185" s="16804"/>
      <c r="D185" s="16804"/>
      <c r="E185" s="16805"/>
      <c r="F185" s="16805"/>
      <c r="G185" s="16805">
        <v>1</v>
      </c>
      <c r="H185" s="16805"/>
      <c r="I185" s="16823"/>
      <c r="J185" s="16804"/>
      <c r="K185" s="16804"/>
      <c r="L185" s="16807"/>
      <c r="M185" s="16824"/>
      <c r="N185" s="16824"/>
      <c r="O185" s="16824"/>
      <c r="P185" s="16825"/>
      <c r="Q185" s="16825"/>
      <c r="R185" s="16826"/>
      <c r="S185" s="19052"/>
      <c r="T185" s="19053" t="s">
        <v>526</v>
      </c>
      <c r="U185" s="19054"/>
      <c r="V185" s="19055"/>
      <c r="W185" s="19056"/>
      <c r="X185" s="19057"/>
      <c r="Y185" s="19058"/>
      <c r="Z185" s="19059"/>
      <c r="AA185" s="19060"/>
      <c r="AB185" s="19061"/>
      <c r="AC185" s="19062"/>
      <c r="AD185" s="19063"/>
      <c r="AE185" s="19064"/>
      <c r="AF185" s="19065"/>
      <c r="AG185" s="19066"/>
      <c r="AH185" s="19067"/>
      <c r="AI185" s="19068"/>
      <c r="AJ185" s="19069"/>
      <c r="AK185" s="19070"/>
      <c r="AL185" s="19071"/>
      <c r="AM185" s="19072"/>
      <c r="AN185" s="19073"/>
      <c r="AO185" s="19074"/>
      <c r="AP185" s="19075"/>
      <c r="AQ185" s="19076"/>
      <c r="AR185" s="19077"/>
      <c r="AS185" s="19078"/>
      <c r="AT185" s="19079"/>
      <c r="AU185" s="19080"/>
      <c r="AV185" s="19081"/>
      <c r="AW185" s="19082"/>
      <c r="AX185" s="19083"/>
      <c r="AY185" s="19084"/>
      <c r="AZ185" s="19085"/>
      <c r="BA185" s="19086"/>
      <c r="BB185" s="19087"/>
      <c r="BC185" s="19088"/>
      <c r="BD185" s="19089"/>
      <c r="BE185" s="19090"/>
      <c r="BF185" s="19091"/>
      <c r="BG185" s="19092"/>
      <c r="BH185" s="19093"/>
      <c r="BI185" s="19094"/>
      <c r="BJ185" s="19095"/>
      <c r="BK185" s="19096"/>
      <c r="BL185" s="19097"/>
      <c r="BM185" s="19098"/>
      <c r="BN185" s="16819"/>
      <c r="BO185" s="16820"/>
      <c r="BP185" s="16820" t="str">
        <f>IF(T185="","",T185)</f>
        <v>Добавить группу потребителей</v>
      </c>
      <c r="BQ185" s="16820"/>
      <c r="BR185" s="16820"/>
      <c r="BS185" s="16821">
        <v>0</v>
      </c>
    </row>
    <row s="25366" customFormat="1" customHeight="1" ht="14.25">
      <c r="A186" s="16804"/>
      <c r="B186" s="16804"/>
      <c r="C186" s="16804"/>
      <c r="D186" s="16804"/>
      <c r="E186" s="16805"/>
      <c r="F186" s="16805"/>
      <c r="G186" s="16805">
        <v>1</v>
      </c>
      <c r="H186" s="16806"/>
      <c r="I186" s="16804"/>
      <c r="J186" s="16804"/>
      <c r="K186" s="16804"/>
      <c r="L186" s="16807"/>
      <c r="M186" s="16808"/>
      <c r="N186" s="16808"/>
      <c r="O186" s="16952"/>
      <c r="P186" s="16953"/>
      <c r="Q186" s="16954"/>
      <c r="R186" s="16955"/>
      <c r="S186" s="19100"/>
      <c r="T186" s="19101" t="s">
        <v>599</v>
      </c>
      <c r="U186" s="19102"/>
      <c r="V186" s="19103"/>
      <c r="W186" s="19104"/>
      <c r="X186" s="19105"/>
      <c r="Y186" s="19106"/>
      <c r="Z186" s="19107"/>
      <c r="AA186" s="19108"/>
      <c r="AB186" s="19109"/>
      <c r="AC186" s="19110"/>
      <c r="AD186" s="19111"/>
      <c r="AE186" s="19112"/>
      <c r="AF186" s="19113"/>
      <c r="AG186" s="19114"/>
      <c r="AH186" s="19115"/>
      <c r="AI186" s="19116"/>
      <c r="AJ186" s="19117"/>
      <c r="AK186" s="19118"/>
      <c r="AL186" s="19119"/>
      <c r="AM186" s="19120"/>
      <c r="AN186" s="19121"/>
      <c r="AO186" s="19122"/>
      <c r="AP186" s="19123"/>
      <c r="AQ186" s="19124"/>
      <c r="AR186" s="19125"/>
      <c r="AS186" s="19126"/>
      <c r="AT186" s="19127"/>
      <c r="AU186" s="19128"/>
      <c r="AV186" s="19129"/>
      <c r="AW186" s="19130"/>
      <c r="AX186" s="19131"/>
      <c r="AY186" s="19132"/>
      <c r="AZ186" s="19133"/>
      <c r="BA186" s="19134"/>
      <c r="BB186" s="19135"/>
      <c r="BC186" s="19136"/>
      <c r="BD186" s="19137"/>
      <c r="BE186" s="19138"/>
      <c r="BF186" s="19139"/>
      <c r="BG186" s="19140"/>
      <c r="BH186" s="19141"/>
      <c r="BI186" s="19142"/>
      <c r="BJ186" s="19143"/>
      <c r="BK186" s="19144"/>
      <c r="BL186" s="19145"/>
      <c r="BM186" s="19146"/>
      <c r="BN186" s="16819"/>
      <c r="BO186" s="16820"/>
      <c r="BP186" s="16820" t="str">
        <f>IF(T186="","",T186)</f>
        <v>Добавить наименование признака дифференциации</v>
      </c>
      <c r="BQ186" s="16820"/>
      <c r="BR186" s="16820"/>
      <c r="BS186" s="16821">
        <v>0</v>
      </c>
    </row>
    <row s="25414" customFormat="1" customHeight="1" ht="14.25">
      <c r="A187" s="17944"/>
      <c r="B187" s="17944"/>
      <c r="C187" s="17944"/>
      <c r="D187" s="17944"/>
      <c r="E187" s="16805"/>
      <c r="F187" s="16806" t="s">
        <v>129</v>
      </c>
      <c r="G187" s="17944"/>
      <c r="H187" s="17944"/>
      <c r="I187" s="17944"/>
      <c r="J187" s="17944"/>
      <c r="K187" s="17944"/>
      <c r="L187" s="17945"/>
      <c r="M187" s="17946"/>
      <c r="N187" s="17946"/>
      <c r="O187" s="16819"/>
      <c r="P187" s="17947"/>
      <c r="Q187" s="17948"/>
      <c r="R187" s="17947"/>
      <c r="S187" s="17949"/>
      <c r="T187" s="17950" t="s">
        <v>280</v>
      </c>
      <c r="U187" s="17951"/>
      <c r="V187" s="17951"/>
      <c r="W187" s="17951"/>
      <c r="X187" s="17951"/>
      <c r="Y187" s="17951"/>
      <c r="Z187" s="17951"/>
      <c r="AA187" s="17951"/>
      <c r="AB187" s="17951"/>
      <c r="AC187" s="17951"/>
      <c r="AD187" s="17951"/>
      <c r="AE187" s="17951"/>
      <c r="AF187" s="17951"/>
      <c r="AG187" s="17951"/>
      <c r="AH187" s="17951"/>
      <c r="AI187" s="17951"/>
      <c r="AJ187" s="17951"/>
      <c r="AK187" s="17951"/>
      <c r="AL187" s="17951"/>
      <c r="AM187" s="17951"/>
      <c r="AN187" s="17951"/>
      <c r="AO187" s="17951"/>
      <c r="AP187" s="17951"/>
      <c r="AQ187" s="17951"/>
      <c r="AR187" s="17951"/>
      <c r="AS187" s="17951"/>
      <c r="AT187" s="17951"/>
      <c r="AU187" s="17951"/>
      <c r="AV187" s="17951"/>
      <c r="AW187" s="17951"/>
      <c r="AX187" s="17951"/>
      <c r="AY187" s="17951"/>
      <c r="AZ187" s="17951"/>
      <c r="BA187" s="17951"/>
      <c r="BB187" s="17951"/>
      <c r="BC187" s="17951"/>
      <c r="BD187" s="17951"/>
      <c r="BE187" s="17951"/>
      <c r="BF187" s="17951"/>
      <c r="BG187" s="17951"/>
      <c r="BH187" s="17951"/>
      <c r="BI187" s="17951"/>
      <c r="BJ187" s="17951"/>
      <c r="BK187" s="17951"/>
      <c r="BL187" s="17951"/>
      <c r="BM187" s="17951"/>
      <c r="BN187" s="16819"/>
      <c r="BO187" s="16820"/>
      <c r="BP187" s="16820" t="str">
        <f>IF(T187="","",T187)</f>
        <v>Добавить централизованную систему для дифференциации</v>
      </c>
      <c r="BQ187" s="16820"/>
      <c r="BR187" s="16820"/>
      <c r="BS187" s="16819">
        <v>0</v>
      </c>
    </row>
    <row s="25415" customFormat="1" customHeight="1" ht="23.25">
      <c r="A188" s="16804"/>
      <c r="B188" s="16804" t="s">
        <v>323</v>
      </c>
      <c r="C188" s="16804"/>
      <c r="D188" s="16804"/>
      <c r="E188" s="16805"/>
      <c r="F188" s="16806" t="s">
        <v>138</v>
      </c>
      <c r="G188" s="16804"/>
      <c r="H188" s="16804"/>
      <c r="I188" s="16804"/>
      <c r="J188" s="16804"/>
      <c r="K188" s="16804"/>
      <c r="L188" s="16807"/>
      <c r="M188" s="16808"/>
      <c r="N188" s="16808"/>
      <c r="O188" s="16808"/>
      <c r="P188" s="17793"/>
      <c r="Q188" s="16810"/>
      <c r="R188" s="16811"/>
      <c r="S188" s="16812" t="str">
        <f>INDEX(PT_DIFFERENTIATION_NUM_TER,MATCH(B188,PT_DIFFERENTIATION_TER_ID,0))</f>
        <v>1.10</v>
      </c>
      <c r="T188" s="17794" t="s">
        <v>511</v>
      </c>
      <c r="U188" s="16814"/>
      <c r="V188" s="16815"/>
      <c r="W188" s="16816"/>
      <c r="X188" s="16816"/>
      <c r="Y188" s="16816"/>
      <c r="Z188" s="16816"/>
      <c r="AA188" s="16816"/>
      <c r="AB188" s="16817"/>
      <c r="AC188" s="16815" t="str">
        <f>INDEX(PT_DIFFERENTIATION_TER,MATCH(B188,PT_DIFFERENTIATION_TER_ID,0))</f>
        <v>Территория 10</v>
      </c>
      <c r="AD188" s="16816"/>
      <c r="AE188" s="16816"/>
      <c r="AF188" s="16816"/>
      <c r="AG188" s="16816"/>
      <c r="AH188" s="16816"/>
      <c r="AI188" s="16816"/>
      <c r="AJ188" s="16815"/>
      <c r="AK188" s="16816"/>
      <c r="AL188" s="16816"/>
      <c r="AM188" s="16816"/>
      <c r="AN188" s="16816"/>
      <c r="AO188" s="16816"/>
      <c r="AP188" s="16817"/>
      <c r="AQ188" s="16815"/>
      <c r="AR188" s="16816"/>
      <c r="AS188" s="16816"/>
      <c r="AT188" s="16816"/>
      <c r="AU188" s="16816"/>
      <c r="AV188" s="16816"/>
      <c r="AW188" s="16817"/>
      <c r="AX188" s="16815"/>
      <c r="AY188" s="16816"/>
      <c r="AZ188" s="16816"/>
      <c r="BA188" s="16816"/>
      <c r="BB188" s="16816"/>
      <c r="BC188" s="16816"/>
      <c r="BD188" s="16817"/>
      <c r="BE188" s="16815"/>
      <c r="BF188" s="16816"/>
      <c r="BG188" s="16816"/>
      <c r="BH188" s="16816"/>
      <c r="BI188" s="16816"/>
      <c r="BJ188" s="16816"/>
      <c r="BK188" s="16817"/>
      <c r="BL188" s="16817"/>
      <c r="BM188" s="16818" t="s">
        <v>512</v>
      </c>
      <c r="BN188" s="16819"/>
      <c r="BO188" s="16820"/>
      <c r="BP188" s="16820" t="str">
        <f>IF(T188="","",T188)</f>
        <v>Территория действия тарифа</v>
      </c>
      <c r="BQ188" s="16820"/>
      <c r="BR188" s="16820"/>
      <c r="BS188" s="16821">
        <v>0</v>
      </c>
    </row>
    <row s="25416" customFormat="1" customHeight="1" ht="23.25">
      <c r="A189" s="16804"/>
      <c r="B189" s="16804"/>
      <c r="C189" s="16804" t="s">
        <v>324</v>
      </c>
      <c r="D189" s="16804"/>
      <c r="E189" s="16805"/>
      <c r="F189" s="16805" t="s">
        <v>134</v>
      </c>
      <c r="G189" s="16806">
        <v>1</v>
      </c>
      <c r="H189" s="16804"/>
      <c r="I189" s="16804"/>
      <c r="J189" s="16804"/>
      <c r="K189" s="16804"/>
      <c r="L189" s="16807"/>
      <c r="M189" s="16808"/>
      <c r="N189" s="16808"/>
      <c r="O189" s="16808"/>
      <c r="P189" s="16809"/>
      <c r="Q189" s="16810"/>
      <c r="R189" s="16811"/>
      <c r="S189" s="16812" t="str">
        <f>INDEX(PT_DIFFERENTIATION_NUM_CS,MATCH(C189,PT_DIFFERENTIATION_CS_ID,0))</f>
        <v>1.10.1</v>
      </c>
      <c r="T189" s="16813" t="s">
        <v>592</v>
      </c>
      <c r="U189" s="16814"/>
      <c r="V189" s="16815"/>
      <c r="W189" s="16816"/>
      <c r="X189" s="16816"/>
      <c r="Y189" s="16816"/>
      <c r="Z189" s="16816"/>
      <c r="AA189" s="16816"/>
      <c r="AB189" s="16817"/>
      <c r="AC189" s="16815" t="str">
        <f>INDEX(PT_DIFFERENTIATION_CS,MATCH(C189,PT_DIFFERENTIATION_CS_ID,0))</f>
        <v>с. Меркушевка, с. Синий Гай, с. Майское, с. Искра, с. Дмитриевка</v>
      </c>
      <c r="AD189" s="16816"/>
      <c r="AE189" s="16816"/>
      <c r="AF189" s="16816"/>
      <c r="AG189" s="16816"/>
      <c r="AH189" s="16816"/>
      <c r="AI189" s="16816"/>
      <c r="AJ189" s="16815"/>
      <c r="AK189" s="16816"/>
      <c r="AL189" s="16816"/>
      <c r="AM189" s="16816"/>
      <c r="AN189" s="16816"/>
      <c r="AO189" s="16816"/>
      <c r="AP189" s="16817"/>
      <c r="AQ189" s="16815"/>
      <c r="AR189" s="16816"/>
      <c r="AS189" s="16816"/>
      <c r="AT189" s="16816"/>
      <c r="AU189" s="16816"/>
      <c r="AV189" s="16816"/>
      <c r="AW189" s="16817"/>
      <c r="AX189" s="16815"/>
      <c r="AY189" s="16816"/>
      <c r="AZ189" s="16816"/>
      <c r="BA189" s="16816"/>
      <c r="BB189" s="16816"/>
      <c r="BC189" s="16816"/>
      <c r="BD189" s="16817"/>
      <c r="BE189" s="16815"/>
      <c r="BF189" s="16816"/>
      <c r="BG189" s="16816"/>
      <c r="BH189" s="16816"/>
      <c r="BI189" s="16816"/>
      <c r="BJ189" s="16816"/>
      <c r="BK189" s="16817"/>
      <c r="BL189" s="16817"/>
      <c r="BM189" s="16818" t="s">
        <v>593</v>
      </c>
      <c r="BN189" s="16819"/>
      <c r="BO189" s="16820"/>
      <c r="BP189" s="16820" t="str">
        <f>IF(T189="","",T189)</f>
        <v>Наименование централизованной системы холодного водоснабжения</v>
      </c>
      <c r="BQ189" s="16820"/>
      <c r="BR189" s="16820"/>
      <c r="BS189" s="16821">
        <v>0</v>
      </c>
    </row>
    <row s="25417" customFormat="1" customHeight="1" ht="23.25">
      <c r="A190" s="16804"/>
      <c r="B190" s="16804"/>
      <c r="C190" s="16804"/>
      <c r="D190" s="16804"/>
      <c r="E190" s="16805"/>
      <c r="F190" s="16805" t="s">
        <v>134</v>
      </c>
      <c r="G190" s="16805"/>
      <c r="H190" s="16805"/>
      <c r="I190" s="16823" t="str">
        <f>S189&amp;".1"</f>
        <v>1.10.1.1</v>
      </c>
      <c r="J190" s="16804"/>
      <c r="K190" s="16804"/>
      <c r="L190" s="16807"/>
      <c r="M190" s="16824"/>
      <c r="N190" s="16824"/>
      <c r="O190" s="16824"/>
      <c r="P190" s="16825">
        <v>1</v>
      </c>
      <c r="Q190" s="16825"/>
      <c r="R190" s="16826"/>
      <c r="S190" s="16812" t="str">
        <f>$I190</f>
        <v>1.10.1.1</v>
      </c>
      <c r="T190" s="16827" t="s">
        <v>594</v>
      </c>
      <c r="U190" s="16814"/>
      <c r="V190" s="16828"/>
      <c r="W190" s="16829"/>
      <c r="X190" s="16829"/>
      <c r="Y190" s="16829"/>
      <c r="Z190" s="16829"/>
      <c r="AA190" s="16829"/>
      <c r="AB190" s="16830"/>
      <c r="AC190" s="16831"/>
      <c r="AD190" s="16832"/>
      <c r="AE190" s="16832"/>
      <c r="AF190" s="16832"/>
      <c r="AG190" s="16832"/>
      <c r="AH190" s="16832"/>
      <c r="AI190" s="16832"/>
      <c r="AJ190" s="16828"/>
      <c r="AK190" s="16829"/>
      <c r="AL190" s="16829"/>
      <c r="AM190" s="16829"/>
      <c r="AN190" s="16829"/>
      <c r="AO190" s="16829"/>
      <c r="AP190" s="16830"/>
      <c r="AQ190" s="16828"/>
      <c r="AR190" s="16829"/>
      <c r="AS190" s="16829"/>
      <c r="AT190" s="16829"/>
      <c r="AU190" s="16829"/>
      <c r="AV190" s="16829"/>
      <c r="AW190" s="16830"/>
      <c r="AX190" s="16828"/>
      <c r="AY190" s="16829"/>
      <c r="AZ190" s="16829"/>
      <c r="BA190" s="16829"/>
      <c r="BB190" s="16829"/>
      <c r="BC190" s="16829"/>
      <c r="BD190" s="16830"/>
      <c r="BE190" s="16828"/>
      <c r="BF190" s="16829"/>
      <c r="BG190" s="16829"/>
      <c r="BH190" s="16829"/>
      <c r="BI190" s="16829"/>
      <c r="BJ190" s="16829"/>
      <c r="BK190" s="16830"/>
      <c r="BL190" s="16833"/>
      <c r="BM190" s="16818" t="s">
        <v>595</v>
      </c>
      <c r="BN190" s="16819"/>
      <c r="BO190" s="16820"/>
      <c r="BP190" s="16820" t="str">
        <f>IF(T190="","",T190)</f>
        <v>Наименование признака дифференциации</v>
      </c>
      <c r="BQ190" s="16820"/>
      <c r="BR190" s="16820"/>
      <c r="BS190" s="16821">
        <v>0</v>
      </c>
    </row>
    <row s="25418" customFormat="1" customHeight="1" ht="23.25">
      <c r="A191" s="16804"/>
      <c r="B191" s="16804"/>
      <c r="C191" s="16804"/>
      <c r="D191" s="16804"/>
      <c r="E191" s="16805"/>
      <c r="F191" s="16805" t="s">
        <v>134</v>
      </c>
      <c r="G191" s="16805"/>
      <c r="H191" s="16805"/>
      <c r="I191" s="16835"/>
      <c r="J191" s="16823" t="str">
        <f>I190&amp;".1"</f>
        <v>1.10.1.1.1</v>
      </c>
      <c r="K191" s="16804"/>
      <c r="L191" s="16807" t="s">
        <v>520</v>
      </c>
      <c r="M191" s="16824"/>
      <c r="N191" s="16824"/>
      <c r="O191" s="16824"/>
      <c r="P191" s="16825"/>
      <c r="Q191" s="16825">
        <v>1</v>
      </c>
      <c r="R191" s="16836"/>
      <c r="S191" s="16812" t="str">
        <f>$J191</f>
        <v>1.10.1.1.1</v>
      </c>
      <c r="T191" s="16837" t="s">
        <v>521</v>
      </c>
      <c r="U191" s="16814"/>
      <c r="V191" s="16838"/>
      <c r="W191" s="16839"/>
      <c r="X191" s="16839"/>
      <c r="Y191" s="16839"/>
      <c r="Z191" s="16839"/>
      <c r="AA191" s="16839"/>
      <c r="AB191" s="16840"/>
      <c r="AC191" s="16838" t="s">
        <v>607</v>
      </c>
      <c r="AD191" s="16839"/>
      <c r="AE191" s="16839"/>
      <c r="AF191" s="16839"/>
      <c r="AG191" s="16839"/>
      <c r="AH191" s="16839"/>
      <c r="AI191" s="16839"/>
      <c r="AJ191" s="16838"/>
      <c r="AK191" s="16839"/>
      <c r="AL191" s="16839"/>
      <c r="AM191" s="16839"/>
      <c r="AN191" s="16839"/>
      <c r="AO191" s="16839"/>
      <c r="AP191" s="16840"/>
      <c r="AQ191" s="16838"/>
      <c r="AR191" s="16839"/>
      <c r="AS191" s="16839"/>
      <c r="AT191" s="16839"/>
      <c r="AU191" s="16839"/>
      <c r="AV191" s="16839"/>
      <c r="AW191" s="16840"/>
      <c r="AX191" s="16838"/>
      <c r="AY191" s="16839"/>
      <c r="AZ191" s="16839"/>
      <c r="BA191" s="16839"/>
      <c r="BB191" s="16839"/>
      <c r="BC191" s="16839"/>
      <c r="BD191" s="16840"/>
      <c r="BE191" s="16838"/>
      <c r="BF191" s="16839"/>
      <c r="BG191" s="16839"/>
      <c r="BH191" s="16839"/>
      <c r="BI191" s="16839"/>
      <c r="BJ191" s="16839"/>
      <c r="BK191" s="16840"/>
      <c r="BL191" s="16840"/>
      <c r="BM191" s="16841" t="s">
        <v>596</v>
      </c>
      <c r="BN191" s="16819"/>
      <c r="BO191" s="16820"/>
      <c r="BP191" s="16820" t="str">
        <f>IF(T191="","",T191)</f>
        <v>Группа потребителей</v>
      </c>
      <c r="BQ191" s="16820"/>
      <c r="BR191" s="16820"/>
      <c r="BS191" s="16821">
        <v>0</v>
      </c>
    </row>
    <row s="25419" customFormat="1" customHeight="1" ht="23.25">
      <c r="A192" s="16804"/>
      <c r="B192" s="16804"/>
      <c r="C192" s="16804"/>
      <c r="D192" s="16804"/>
      <c r="E192" s="16805"/>
      <c r="F192" s="16805" t="s">
        <v>134</v>
      </c>
      <c r="G192" s="16805"/>
      <c r="H192" s="16805"/>
      <c r="I192" s="16835"/>
      <c r="J192" s="16835"/>
      <c r="K192" s="16823" t="str">
        <f>J191&amp;".1"</f>
        <v>1.10.1.1.1.1</v>
      </c>
      <c r="L192" s="16807"/>
      <c r="M192" s="16824"/>
      <c r="N192" s="16824"/>
      <c r="O192" s="16824"/>
      <c r="P192" s="16825"/>
      <c r="Q192" s="16825"/>
      <c r="R192" s="16836">
        <v>1</v>
      </c>
      <c r="S192" s="16812" t="str">
        <f>$K192</f>
        <v>1.10.1.1.1.1</v>
      </c>
      <c r="T192" s="16843" t="s">
        <v>590</v>
      </c>
      <c r="U192" s="16814"/>
      <c r="V192" s="16708"/>
      <c r="W192" s="16708"/>
      <c r="X192" s="16709"/>
      <c r="Y192" s="16710"/>
      <c r="Z192" s="16711" t="s">
        <v>66</v>
      </c>
      <c r="AA192" s="16710"/>
      <c r="AB192" s="16711" t="s">
        <v>66</v>
      </c>
      <c r="AC192" s="16844">
        <v>50.31</v>
      </c>
      <c r="AD192" s="16844"/>
      <c r="AE192" s="16845"/>
      <c r="AF192" s="16846">
        <v>45658.4894212963</v>
      </c>
      <c r="AG192" s="16847" t="s">
        <v>66</v>
      </c>
      <c r="AH192" s="16712">
        <v>46022.48957175926</v>
      </c>
      <c r="AI192" s="16847" t="s">
        <v>66</v>
      </c>
      <c r="AJ192" s="16844">
        <v>47.75</v>
      </c>
      <c r="AK192" s="16844"/>
      <c r="AL192" s="16845"/>
      <c r="AM192" s="16846">
        <v>46023.49644675926</v>
      </c>
      <c r="AN192" s="16847" t="s">
        <v>66</v>
      </c>
      <c r="AO192" s="16846">
        <v>46387.49664351852</v>
      </c>
      <c r="AP192" s="16847" t="s">
        <v>66</v>
      </c>
      <c r="AQ192" s="16844">
        <v>49.05</v>
      </c>
      <c r="AR192" s="16844"/>
      <c r="AS192" s="16845"/>
      <c r="AT192" s="16846">
        <v>46388.50969907407</v>
      </c>
      <c r="AU192" s="16847" t="s">
        <v>66</v>
      </c>
      <c r="AV192" s="16846">
        <v>46752.50980324074</v>
      </c>
      <c r="AW192" s="16847" t="s">
        <v>66</v>
      </c>
      <c r="AX192" s="16844">
        <v>50.4</v>
      </c>
      <c r="AY192" s="16844"/>
      <c r="AZ192" s="16845"/>
      <c r="BA192" s="16846">
        <v>46753.51</v>
      </c>
      <c r="BB192" s="16847" t="s">
        <v>66</v>
      </c>
      <c r="BC192" s="16846">
        <v>47118.510150462964</v>
      </c>
      <c r="BD192" s="16847" t="s">
        <v>19</v>
      </c>
      <c r="BE192" s="16708"/>
      <c r="BF192" s="16708"/>
      <c r="BG192" s="16709"/>
      <c r="BH192" s="16710"/>
      <c r="BI192" s="16711" t="s">
        <v>66</v>
      </c>
      <c r="BJ192" s="16710"/>
      <c r="BK192" s="16711" t="s">
        <v>66</v>
      </c>
      <c r="BL192" s="16848"/>
      <c r="BM192"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192" s="16819">
        <f>STRCHECKDATE(V193:BL193)</f>
      </c>
      <c r="BO192" s="16820"/>
      <c r="BP192" s="16820" t="str">
        <f>IF(T192="","",T192)</f>
        <v>без НДС</v>
      </c>
      <c r="BQ192" s="16820"/>
      <c r="BR192" s="16820"/>
      <c r="BS192" s="16821">
        <v>0</v>
      </c>
    </row>
    <row s="25420" customFormat="1" customHeight="1" ht="14.25">
      <c r="A193" s="16804"/>
      <c r="B193" s="16804"/>
      <c r="C193" s="16804"/>
      <c r="D193" s="16804"/>
      <c r="E193" s="16805"/>
      <c r="F193" s="16805" t="s">
        <v>134</v>
      </c>
      <c r="G193" s="16805"/>
      <c r="H193" s="16805"/>
      <c r="I193" s="16835"/>
      <c r="J193" s="16835"/>
      <c r="K193" s="16823"/>
      <c r="L193" s="16807"/>
      <c r="M193" s="16824"/>
      <c r="N193" s="16824"/>
      <c r="O193" s="16824"/>
      <c r="P193" s="16825"/>
      <c r="Q193" s="16825"/>
      <c r="R193" s="16836"/>
      <c r="S193" s="16851"/>
      <c r="T193" s="16814"/>
      <c r="U193" s="16814"/>
      <c r="V193" s="16708"/>
      <c r="W193" s="16708"/>
      <c r="X193" s="16716" t="str">
        <f>Y192&amp;"-"&amp;AA192</f>
        <v>-</v>
      </c>
      <c r="Y193" s="16711"/>
      <c r="Z193" s="16711"/>
      <c r="AA193" s="16711"/>
      <c r="AB193" s="16711"/>
      <c r="AC193" s="16852"/>
      <c r="AD193" s="16852"/>
      <c r="AE193" s="16716" t="str">
        <f>AF192&amp;"-"&amp;AH192</f>
        <v>45658.4894212963-46022.48957175926</v>
      </c>
      <c r="AF193" s="16853"/>
      <c r="AG193" s="16847"/>
      <c r="AH193" s="16854"/>
      <c r="AI193" s="16847"/>
      <c r="AJ193" s="16852"/>
      <c r="AK193" s="16852"/>
      <c r="AL193" s="16716" t="str">
        <f>AM192&amp;"-"&amp;AO192</f>
        <v>46023.49644675926-46387.49664351852</v>
      </c>
      <c r="AM193" s="16853"/>
      <c r="AN193" s="16847"/>
      <c r="AO193" s="16853"/>
      <c r="AP193" s="16847"/>
      <c r="AQ193" s="16852"/>
      <c r="AR193" s="16852"/>
      <c r="AS193" s="16716" t="str">
        <f>AT192&amp;"-"&amp;AV192</f>
        <v>46388.50969907407-46752.50980324074</v>
      </c>
      <c r="AT193" s="16853"/>
      <c r="AU193" s="16847"/>
      <c r="AV193" s="16853"/>
      <c r="AW193" s="16847"/>
      <c r="AX193" s="16852"/>
      <c r="AY193" s="16852"/>
      <c r="AZ193" s="16716" t="str">
        <f>BA192&amp;"-"&amp;BC192</f>
        <v>46753.51-47118.510150462964</v>
      </c>
      <c r="BA193" s="16853"/>
      <c r="BB193" s="16847"/>
      <c r="BC193" s="16853"/>
      <c r="BD193" s="16847"/>
      <c r="BE193" s="16708"/>
      <c r="BF193" s="16708"/>
      <c r="BG193" s="16716" t="str">
        <f>BH192&amp;"-"&amp;BJ192</f>
        <v>-</v>
      </c>
      <c r="BH193" s="16711"/>
      <c r="BI193" s="16711"/>
      <c r="BJ193" s="16711"/>
      <c r="BK193" s="16711"/>
      <c r="BL193" s="16855"/>
      <c r="BM193" s="16849"/>
      <c r="BN193" s="16819"/>
      <c r="BO193" s="16820"/>
      <c r="BP193" s="16820" t="str">
        <f>IF(T193="","",T193)</f>
        <v/>
      </c>
      <c r="BQ193" s="16820"/>
      <c r="BR193" s="16820"/>
      <c r="BS193" s="16821">
        <v>0</v>
      </c>
    </row>
    <row s="25421" customFormat="1" customHeight="1" ht="21">
      <c r="A194" s="16804"/>
      <c r="B194" s="16804"/>
      <c r="C194" s="16804"/>
      <c r="D194" s="16804"/>
      <c r="E194" s="16805"/>
      <c r="F194" s="16805" t="s">
        <v>134</v>
      </c>
      <c r="G194" s="16805"/>
      <c r="H194" s="16805"/>
      <c r="I194" s="16835"/>
      <c r="J194" s="16823"/>
      <c r="K194" s="16804"/>
      <c r="L194" s="16807"/>
      <c r="M194" s="16824"/>
      <c r="N194" s="16824"/>
      <c r="O194" s="16824"/>
      <c r="P194" s="16825"/>
      <c r="Q194" s="16825"/>
      <c r="R194" s="16826"/>
      <c r="S194" s="19155"/>
      <c r="T194" s="19156" t="s">
        <v>597</v>
      </c>
      <c r="U194" s="19157"/>
      <c r="V194" s="19158"/>
      <c r="W194" s="19159"/>
      <c r="X194" s="19160"/>
      <c r="Y194" s="19161"/>
      <c r="Z194" s="19162"/>
      <c r="AA194" s="19163"/>
      <c r="AB194" s="19164"/>
      <c r="AC194" s="19165"/>
      <c r="AD194" s="19166"/>
      <c r="AE194" s="19167"/>
      <c r="AF194" s="19168"/>
      <c r="AG194" s="19169"/>
      <c r="AH194" s="19170"/>
      <c r="AI194" s="19171"/>
      <c r="AJ194" s="19172"/>
      <c r="AK194" s="19173"/>
      <c r="AL194" s="19174"/>
      <c r="AM194" s="19175"/>
      <c r="AN194" s="19176"/>
      <c r="AO194" s="19177"/>
      <c r="AP194" s="19178"/>
      <c r="AQ194" s="19179"/>
      <c r="AR194" s="19180"/>
      <c r="AS194" s="19181"/>
      <c r="AT194" s="19182"/>
      <c r="AU194" s="19183"/>
      <c r="AV194" s="19184"/>
      <c r="AW194" s="19185"/>
      <c r="AX194" s="19186"/>
      <c r="AY194" s="19187"/>
      <c r="AZ194" s="19188"/>
      <c r="BA194" s="19189"/>
      <c r="BB194" s="19190"/>
      <c r="BC194" s="19191"/>
      <c r="BD194" s="19192"/>
      <c r="BE194" s="19193"/>
      <c r="BF194" s="19194"/>
      <c r="BG194" s="19195"/>
      <c r="BH194" s="19196"/>
      <c r="BI194" s="19197"/>
      <c r="BJ194" s="19198"/>
      <c r="BK194" s="19199"/>
      <c r="BL194" s="19200"/>
      <c r="BM194" s="16818" t="s">
        <v>598</v>
      </c>
      <c r="BN194" s="16819"/>
      <c r="BO194" s="16820"/>
      <c r="BP194" s="16820" t="str">
        <f>IF(T194="","",T194)</f>
        <v>Добавить значение признака дифференциации</v>
      </c>
      <c r="BQ194" s="16820"/>
      <c r="BR194" s="16820"/>
      <c r="BS194" s="16821">
        <v>0</v>
      </c>
    </row>
    <row s="25468" customFormat="1" customHeight="1" ht="21">
      <c r="A195" s="16804"/>
      <c r="B195" s="16804"/>
      <c r="C195" s="16804"/>
      <c r="D195" s="16804"/>
      <c r="E195" s="16805"/>
      <c r="F195" s="16805" t="s">
        <v>134</v>
      </c>
      <c r="G195" s="16805"/>
      <c r="H195" s="16805"/>
      <c r="I195" s="16823"/>
      <c r="J195" s="16804"/>
      <c r="K195" s="16804"/>
      <c r="L195" s="16807"/>
      <c r="M195" s="16824"/>
      <c r="N195" s="16824"/>
      <c r="O195" s="16824"/>
      <c r="P195" s="16825"/>
      <c r="Q195" s="16825"/>
      <c r="R195" s="16826"/>
      <c r="S195" s="19202"/>
      <c r="T195" s="19203" t="s">
        <v>526</v>
      </c>
      <c r="U195" s="19204"/>
      <c r="V195" s="19205"/>
      <c r="W195" s="19206"/>
      <c r="X195" s="19207"/>
      <c r="Y195" s="19208"/>
      <c r="Z195" s="19209"/>
      <c r="AA195" s="19210"/>
      <c r="AB195" s="19211"/>
      <c r="AC195" s="19212"/>
      <c r="AD195" s="19213"/>
      <c r="AE195" s="19214"/>
      <c r="AF195" s="19215"/>
      <c r="AG195" s="19216"/>
      <c r="AH195" s="19217"/>
      <c r="AI195" s="19218"/>
      <c r="AJ195" s="19219"/>
      <c r="AK195" s="19220"/>
      <c r="AL195" s="19221"/>
      <c r="AM195" s="19222"/>
      <c r="AN195" s="19223"/>
      <c r="AO195" s="19224"/>
      <c r="AP195" s="19225"/>
      <c r="AQ195" s="19226"/>
      <c r="AR195" s="19227"/>
      <c r="AS195" s="19228"/>
      <c r="AT195" s="19229"/>
      <c r="AU195" s="19230"/>
      <c r="AV195" s="19231"/>
      <c r="AW195" s="19232"/>
      <c r="AX195" s="19233"/>
      <c r="AY195" s="19234"/>
      <c r="AZ195" s="19235"/>
      <c r="BA195" s="19236"/>
      <c r="BB195" s="19237"/>
      <c r="BC195" s="19238"/>
      <c r="BD195" s="19239"/>
      <c r="BE195" s="19240"/>
      <c r="BF195" s="19241"/>
      <c r="BG195" s="19242"/>
      <c r="BH195" s="19243"/>
      <c r="BI195" s="19244"/>
      <c r="BJ195" s="19245"/>
      <c r="BK195" s="19246"/>
      <c r="BL195" s="19247"/>
      <c r="BM195" s="19248"/>
      <c r="BN195" s="16819"/>
      <c r="BO195" s="16820"/>
      <c r="BP195" s="16820" t="str">
        <f>IF(T195="","",T195)</f>
        <v>Добавить группу потребителей</v>
      </c>
      <c r="BQ195" s="16820"/>
      <c r="BR195" s="16820"/>
      <c r="BS195" s="16821">
        <v>0</v>
      </c>
    </row>
    <row s="25516" customFormat="1" customHeight="1" ht="14.25">
      <c r="A196" s="16804"/>
      <c r="B196" s="16804"/>
      <c r="C196" s="16804"/>
      <c r="D196" s="16804"/>
      <c r="E196" s="16805"/>
      <c r="F196" s="16805" t="s">
        <v>134</v>
      </c>
      <c r="G196" s="16805"/>
      <c r="H196" s="16806"/>
      <c r="I196" s="16804"/>
      <c r="J196" s="16804"/>
      <c r="K196" s="16804"/>
      <c r="L196" s="16807"/>
      <c r="M196" s="16808"/>
      <c r="N196" s="16808"/>
      <c r="O196" s="16952"/>
      <c r="P196" s="16953"/>
      <c r="Q196" s="16954"/>
      <c r="R196" s="16955"/>
      <c r="S196" s="19250"/>
      <c r="T196" s="19251" t="s">
        <v>599</v>
      </c>
      <c r="U196" s="19252"/>
      <c r="V196" s="19253"/>
      <c r="W196" s="19254"/>
      <c r="X196" s="19255"/>
      <c r="Y196" s="19256"/>
      <c r="Z196" s="19257"/>
      <c r="AA196" s="19258"/>
      <c r="AB196" s="19259"/>
      <c r="AC196" s="19260"/>
      <c r="AD196" s="19261"/>
      <c r="AE196" s="19262"/>
      <c r="AF196" s="19263"/>
      <c r="AG196" s="19264"/>
      <c r="AH196" s="19265"/>
      <c r="AI196" s="19266"/>
      <c r="AJ196" s="19267"/>
      <c r="AK196" s="19268"/>
      <c r="AL196" s="19269"/>
      <c r="AM196" s="19270"/>
      <c r="AN196" s="19271"/>
      <c r="AO196" s="19272"/>
      <c r="AP196" s="19273"/>
      <c r="AQ196" s="19274"/>
      <c r="AR196" s="19275"/>
      <c r="AS196" s="19276"/>
      <c r="AT196" s="19277"/>
      <c r="AU196" s="19278"/>
      <c r="AV196" s="19279"/>
      <c r="AW196" s="19280"/>
      <c r="AX196" s="19281"/>
      <c r="AY196" s="19282"/>
      <c r="AZ196" s="19283"/>
      <c r="BA196" s="19284"/>
      <c r="BB196" s="19285"/>
      <c r="BC196" s="19286"/>
      <c r="BD196" s="19287"/>
      <c r="BE196" s="19288"/>
      <c r="BF196" s="19289"/>
      <c r="BG196" s="19290"/>
      <c r="BH196" s="19291"/>
      <c r="BI196" s="19292"/>
      <c r="BJ196" s="19293"/>
      <c r="BK196" s="19294"/>
      <c r="BL196" s="19295"/>
      <c r="BM196" s="19296"/>
      <c r="BN196" s="16819"/>
      <c r="BO196" s="16820"/>
      <c r="BP196" s="16820" t="str">
        <f>IF(T196="","",T196)</f>
        <v>Добавить наименование признака дифференциации</v>
      </c>
      <c r="BQ196" s="16820"/>
      <c r="BR196" s="16820"/>
      <c r="BS196" s="16821">
        <v>0</v>
      </c>
    </row>
    <row s="25564" customFormat="1" customHeight="1" ht="23.25">
      <c r="A197" s="16804"/>
      <c r="B197" s="16804"/>
      <c r="C197" s="16804" t="s">
        <v>327</v>
      </c>
      <c r="D197" s="16804"/>
      <c r="E197" s="16805"/>
      <c r="F197" s="16805"/>
      <c r="G197" s="16806" t="s">
        <v>103</v>
      </c>
      <c r="H197" s="16804"/>
      <c r="I197" s="16804"/>
      <c r="J197" s="16804"/>
      <c r="K197" s="16804"/>
      <c r="L197" s="16807"/>
      <c r="M197" s="16808"/>
      <c r="N197" s="16808"/>
      <c r="O197" s="16808"/>
      <c r="P197" s="16809"/>
      <c r="Q197" s="16810"/>
      <c r="R197" s="16811"/>
      <c r="S197" s="16812" t="str">
        <f>INDEX(PT_DIFFERENTIATION_NUM_CS,MATCH(C197,PT_DIFFERENTIATION_CS_ID,0))</f>
        <v>1.10.2</v>
      </c>
      <c r="T197" s="16813" t="s">
        <v>592</v>
      </c>
      <c r="U197" s="16814"/>
      <c r="V197" s="16815"/>
      <c r="W197" s="16816"/>
      <c r="X197" s="16816"/>
      <c r="Y197" s="16816"/>
      <c r="Z197" s="16816"/>
      <c r="AA197" s="16816"/>
      <c r="AB197" s="16817"/>
      <c r="AC197" s="16815" t="str">
        <f>INDEX(PT_DIFFERENTIATION_CS,MATCH(C197,PT_DIFFERENTIATION_CS_ID,0))</f>
        <v>с. Черниговка, с. Горный Хутор</v>
      </c>
      <c r="AD197" s="16816"/>
      <c r="AE197" s="16816"/>
      <c r="AF197" s="16816"/>
      <c r="AG197" s="16816"/>
      <c r="AH197" s="16816"/>
      <c r="AI197" s="16816"/>
      <c r="AJ197" s="16815"/>
      <c r="AK197" s="16816"/>
      <c r="AL197" s="16816"/>
      <c r="AM197" s="16816"/>
      <c r="AN197" s="16816"/>
      <c r="AO197" s="16816"/>
      <c r="AP197" s="16817"/>
      <c r="AQ197" s="16815"/>
      <c r="AR197" s="16816"/>
      <c r="AS197" s="16816"/>
      <c r="AT197" s="16816"/>
      <c r="AU197" s="16816"/>
      <c r="AV197" s="16816"/>
      <c r="AW197" s="16817"/>
      <c r="AX197" s="16815"/>
      <c r="AY197" s="16816"/>
      <c r="AZ197" s="16816"/>
      <c r="BA197" s="16816"/>
      <c r="BB197" s="16816"/>
      <c r="BC197" s="16816"/>
      <c r="BD197" s="16817"/>
      <c r="BE197" s="16815"/>
      <c r="BF197" s="16816"/>
      <c r="BG197" s="16816"/>
      <c r="BH197" s="16816"/>
      <c r="BI197" s="16816"/>
      <c r="BJ197" s="16816"/>
      <c r="BK197" s="16817"/>
      <c r="BL197" s="16817"/>
      <c r="BM197" s="16818" t="s">
        <v>593</v>
      </c>
      <c r="BN197" s="16819"/>
      <c r="BO197" s="16820"/>
      <c r="BP197" s="16820" t="str">
        <f>IF(T197="","",T197)</f>
        <v>Наименование централизованной системы холодного водоснабжения</v>
      </c>
      <c r="BQ197" s="16820"/>
      <c r="BR197" s="16820"/>
      <c r="BS197" s="16821">
        <v>0</v>
      </c>
    </row>
    <row s="25565" customFormat="1" customHeight="1" ht="23.25">
      <c r="A198" s="16804"/>
      <c r="B198" s="16804"/>
      <c r="C198" s="16804"/>
      <c r="D198" s="16804"/>
      <c r="E198" s="16805"/>
      <c r="F198" s="16805"/>
      <c r="G198" s="16805">
        <v>1</v>
      </c>
      <c r="H198" s="16805"/>
      <c r="I198" s="16823" t="str">
        <f>S197&amp;".1"</f>
        <v>1.10.2.1</v>
      </c>
      <c r="J198" s="16804"/>
      <c r="K198" s="16804"/>
      <c r="L198" s="16807"/>
      <c r="M198" s="16824"/>
      <c r="N198" s="16824"/>
      <c r="O198" s="16824"/>
      <c r="P198" s="16825">
        <v>1</v>
      </c>
      <c r="Q198" s="16825"/>
      <c r="R198" s="16826"/>
      <c r="S198" s="16812" t="str">
        <f>$I198</f>
        <v>1.10.2.1</v>
      </c>
      <c r="T198" s="16827" t="s">
        <v>594</v>
      </c>
      <c r="U198" s="16814"/>
      <c r="V198" s="16828"/>
      <c r="W198" s="16829"/>
      <c r="X198" s="16829"/>
      <c r="Y198" s="16829"/>
      <c r="Z198" s="16829"/>
      <c r="AA198" s="16829"/>
      <c r="AB198" s="16830"/>
      <c r="AC198" s="16831"/>
      <c r="AD198" s="16832"/>
      <c r="AE198" s="16832"/>
      <c r="AF198" s="16832"/>
      <c r="AG198" s="16832"/>
      <c r="AH198" s="16832"/>
      <c r="AI198" s="16832"/>
      <c r="AJ198" s="16828"/>
      <c r="AK198" s="16829"/>
      <c r="AL198" s="16829"/>
      <c r="AM198" s="16829"/>
      <c r="AN198" s="16829"/>
      <c r="AO198" s="16829"/>
      <c r="AP198" s="16830"/>
      <c r="AQ198" s="16828"/>
      <c r="AR198" s="16829"/>
      <c r="AS198" s="16829"/>
      <c r="AT198" s="16829"/>
      <c r="AU198" s="16829"/>
      <c r="AV198" s="16829"/>
      <c r="AW198" s="16830"/>
      <c r="AX198" s="16828"/>
      <c r="AY198" s="16829"/>
      <c r="AZ198" s="16829"/>
      <c r="BA198" s="16829"/>
      <c r="BB198" s="16829"/>
      <c r="BC198" s="16829"/>
      <c r="BD198" s="16830"/>
      <c r="BE198" s="16828"/>
      <c r="BF198" s="16829"/>
      <c r="BG198" s="16829"/>
      <c r="BH198" s="16829"/>
      <c r="BI198" s="16829"/>
      <c r="BJ198" s="16829"/>
      <c r="BK198" s="16830"/>
      <c r="BL198" s="16833"/>
      <c r="BM198" s="16818" t="s">
        <v>595</v>
      </c>
      <c r="BN198" s="16819"/>
      <c r="BO198" s="16820"/>
      <c r="BP198" s="16820" t="str">
        <f>IF(T198="","",T198)</f>
        <v>Наименование признака дифференциации</v>
      </c>
      <c r="BQ198" s="16820"/>
      <c r="BR198" s="16820"/>
      <c r="BS198" s="16821">
        <v>0</v>
      </c>
    </row>
    <row s="25566" customFormat="1" customHeight="1" ht="23.25">
      <c r="A199" s="16804"/>
      <c r="B199" s="16804"/>
      <c r="C199" s="16804"/>
      <c r="D199" s="16804"/>
      <c r="E199" s="16805"/>
      <c r="F199" s="16805"/>
      <c r="G199" s="16805">
        <v>1</v>
      </c>
      <c r="H199" s="16805"/>
      <c r="I199" s="16835"/>
      <c r="J199" s="16823" t="str">
        <f>I198&amp;".1"</f>
        <v>1.10.2.1.1</v>
      </c>
      <c r="K199" s="16804"/>
      <c r="L199" s="16807" t="s">
        <v>520</v>
      </c>
      <c r="M199" s="16824"/>
      <c r="N199" s="16824"/>
      <c r="O199" s="16824"/>
      <c r="P199" s="16825"/>
      <c r="Q199" s="16825">
        <v>1</v>
      </c>
      <c r="R199" s="16836"/>
      <c r="S199" s="16812" t="str">
        <f>$J199</f>
        <v>1.10.2.1.1</v>
      </c>
      <c r="T199" s="16837" t="s">
        <v>521</v>
      </c>
      <c r="U199" s="16814"/>
      <c r="V199" s="16838"/>
      <c r="W199" s="16839"/>
      <c r="X199" s="16839"/>
      <c r="Y199" s="16839"/>
      <c r="Z199" s="16839"/>
      <c r="AA199" s="16839"/>
      <c r="AB199" s="16840"/>
      <c r="AC199" s="16838" t="s">
        <v>607</v>
      </c>
      <c r="AD199" s="16839"/>
      <c r="AE199" s="16839"/>
      <c r="AF199" s="16839"/>
      <c r="AG199" s="16839"/>
      <c r="AH199" s="16839"/>
      <c r="AI199" s="16839"/>
      <c r="AJ199" s="16838"/>
      <c r="AK199" s="16839"/>
      <c r="AL199" s="16839"/>
      <c r="AM199" s="16839"/>
      <c r="AN199" s="16839"/>
      <c r="AO199" s="16839"/>
      <c r="AP199" s="16840"/>
      <c r="AQ199" s="16838"/>
      <c r="AR199" s="16839"/>
      <c r="AS199" s="16839"/>
      <c r="AT199" s="16839"/>
      <c r="AU199" s="16839"/>
      <c r="AV199" s="16839"/>
      <c r="AW199" s="16840"/>
      <c r="AX199" s="16838"/>
      <c r="AY199" s="16839"/>
      <c r="AZ199" s="16839"/>
      <c r="BA199" s="16839"/>
      <c r="BB199" s="16839"/>
      <c r="BC199" s="16839"/>
      <c r="BD199" s="16840"/>
      <c r="BE199" s="16838"/>
      <c r="BF199" s="16839"/>
      <c r="BG199" s="16839"/>
      <c r="BH199" s="16839"/>
      <c r="BI199" s="16839"/>
      <c r="BJ199" s="16839"/>
      <c r="BK199" s="16840"/>
      <c r="BL199" s="16840"/>
      <c r="BM199" s="16841" t="s">
        <v>596</v>
      </c>
      <c r="BN199" s="16819"/>
      <c r="BO199" s="16820"/>
      <c r="BP199" s="16820" t="str">
        <f>IF(T199="","",T199)</f>
        <v>Группа потребителей</v>
      </c>
      <c r="BQ199" s="16820"/>
      <c r="BR199" s="16820"/>
      <c r="BS199" s="16821">
        <v>0</v>
      </c>
    </row>
    <row s="25567" customFormat="1" customHeight="1" ht="23.25">
      <c r="A200" s="16804"/>
      <c r="B200" s="16804"/>
      <c r="C200" s="16804"/>
      <c r="D200" s="16804"/>
      <c r="E200" s="16805"/>
      <c r="F200" s="16805"/>
      <c r="G200" s="16805">
        <v>1</v>
      </c>
      <c r="H200" s="16805"/>
      <c r="I200" s="16835"/>
      <c r="J200" s="16835"/>
      <c r="K200" s="16823" t="str">
        <f>J199&amp;".1"</f>
        <v>1.10.2.1.1.1</v>
      </c>
      <c r="L200" s="16807"/>
      <c r="M200" s="16824"/>
      <c r="N200" s="16824"/>
      <c r="O200" s="16824"/>
      <c r="P200" s="16825"/>
      <c r="Q200" s="16825"/>
      <c r="R200" s="16836">
        <v>1</v>
      </c>
      <c r="S200" s="16812" t="str">
        <f>$K200</f>
        <v>1.10.2.1.1.1</v>
      </c>
      <c r="T200" s="16843" t="s">
        <v>590</v>
      </c>
      <c r="U200" s="16814"/>
      <c r="V200" s="16708"/>
      <c r="W200" s="16708"/>
      <c r="X200" s="16709"/>
      <c r="Y200" s="16710"/>
      <c r="Z200" s="16711" t="s">
        <v>66</v>
      </c>
      <c r="AA200" s="16710"/>
      <c r="AB200" s="16711" t="s">
        <v>66</v>
      </c>
      <c r="AC200" s="16844">
        <v>59.13</v>
      </c>
      <c r="AD200" s="16844"/>
      <c r="AE200" s="16845"/>
      <c r="AF200" s="16846">
        <v>45658.48972222222</v>
      </c>
      <c r="AG200" s="16847" t="s">
        <v>66</v>
      </c>
      <c r="AH200" s="16712">
        <v>46022.48982638889</v>
      </c>
      <c r="AI200" s="16847" t="s">
        <v>66</v>
      </c>
      <c r="AJ200" s="16844">
        <v>55.44</v>
      </c>
      <c r="AK200" s="16844"/>
      <c r="AL200" s="16845"/>
      <c r="AM200" s="16846">
        <v>46023.49680555556</v>
      </c>
      <c r="AN200" s="16847" t="s">
        <v>66</v>
      </c>
      <c r="AO200" s="16846">
        <v>46387.49695601852</v>
      </c>
      <c r="AP200" s="16847" t="s">
        <v>66</v>
      </c>
      <c r="AQ200" s="16844">
        <v>56.99</v>
      </c>
      <c r="AR200" s="16844"/>
      <c r="AS200" s="16845"/>
      <c r="AT200" s="16846">
        <v>46388.51033564815</v>
      </c>
      <c r="AU200" s="16847" t="s">
        <v>66</v>
      </c>
      <c r="AV200" s="16846">
        <v>46752.51042824074</v>
      </c>
      <c r="AW200" s="16847" t="s">
        <v>66</v>
      </c>
      <c r="AX200" s="16844">
        <v>58.58</v>
      </c>
      <c r="AY200" s="16844"/>
      <c r="AZ200" s="16845"/>
      <c r="BA200" s="16846">
        <v>46753.51060185185</v>
      </c>
      <c r="BB200" s="16847" t="s">
        <v>66</v>
      </c>
      <c r="BC200" s="16846">
        <v>47118.51079861111</v>
      </c>
      <c r="BD200" s="16847" t="s">
        <v>19</v>
      </c>
      <c r="BE200" s="16708"/>
      <c r="BF200" s="16708"/>
      <c r="BG200" s="16709"/>
      <c r="BH200" s="16710"/>
      <c r="BI200" s="16711" t="s">
        <v>66</v>
      </c>
      <c r="BJ200" s="16710"/>
      <c r="BK200" s="16711" t="s">
        <v>66</v>
      </c>
      <c r="BL200" s="16848"/>
      <c r="BM200"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00" s="16819">
        <f>STRCHECKDATE(V201:BL201)</f>
      </c>
      <c r="BO200" s="16820"/>
      <c r="BP200" s="16820" t="str">
        <f>IF(T200="","",T200)</f>
        <v>без НДС</v>
      </c>
      <c r="BQ200" s="16820"/>
      <c r="BR200" s="16820"/>
      <c r="BS200" s="16821">
        <v>0</v>
      </c>
    </row>
    <row s="25568" customFormat="1" customHeight="1" ht="14.25">
      <c r="A201" s="16804"/>
      <c r="B201" s="16804"/>
      <c r="C201" s="16804"/>
      <c r="D201" s="16804"/>
      <c r="E201" s="16805"/>
      <c r="F201" s="16805"/>
      <c r="G201" s="16805">
        <v>1</v>
      </c>
      <c r="H201" s="16805"/>
      <c r="I201" s="16835"/>
      <c r="J201" s="16835"/>
      <c r="K201" s="16823"/>
      <c r="L201" s="16807"/>
      <c r="M201" s="16824"/>
      <c r="N201" s="16824"/>
      <c r="O201" s="16824"/>
      <c r="P201" s="16825"/>
      <c r="Q201" s="16825"/>
      <c r="R201" s="16836"/>
      <c r="S201" s="16851"/>
      <c r="T201" s="16814"/>
      <c r="U201" s="16814"/>
      <c r="V201" s="16708"/>
      <c r="W201" s="16708"/>
      <c r="X201" s="16716" t="str">
        <f>Y200&amp;"-"&amp;AA200</f>
        <v>-</v>
      </c>
      <c r="Y201" s="16711"/>
      <c r="Z201" s="16711"/>
      <c r="AA201" s="16711"/>
      <c r="AB201" s="16711"/>
      <c r="AC201" s="16852"/>
      <c r="AD201" s="16852"/>
      <c r="AE201" s="16716" t="str">
        <f>AF200&amp;"-"&amp;AH200</f>
        <v>45658.48972222222-46022.48982638889</v>
      </c>
      <c r="AF201" s="16853"/>
      <c r="AG201" s="16847"/>
      <c r="AH201" s="16854"/>
      <c r="AI201" s="16847"/>
      <c r="AJ201" s="16852"/>
      <c r="AK201" s="16852"/>
      <c r="AL201" s="16716" t="str">
        <f>AM200&amp;"-"&amp;AO200</f>
        <v>46023.49680555556-46387.49695601852</v>
      </c>
      <c r="AM201" s="16853"/>
      <c r="AN201" s="16847"/>
      <c r="AO201" s="16853"/>
      <c r="AP201" s="16847"/>
      <c r="AQ201" s="16852"/>
      <c r="AR201" s="16852"/>
      <c r="AS201" s="16716" t="str">
        <f>AT200&amp;"-"&amp;AV200</f>
        <v>46388.51033564815-46752.51042824074</v>
      </c>
      <c r="AT201" s="16853"/>
      <c r="AU201" s="16847"/>
      <c r="AV201" s="16853"/>
      <c r="AW201" s="16847"/>
      <c r="AX201" s="16852"/>
      <c r="AY201" s="16852"/>
      <c r="AZ201" s="16716" t="str">
        <f>BA200&amp;"-"&amp;BC200</f>
        <v>46753.51060185185-47118.51079861111</v>
      </c>
      <c r="BA201" s="16853"/>
      <c r="BB201" s="16847"/>
      <c r="BC201" s="16853"/>
      <c r="BD201" s="16847"/>
      <c r="BE201" s="16708"/>
      <c r="BF201" s="16708"/>
      <c r="BG201" s="16716" t="str">
        <f>BH200&amp;"-"&amp;BJ200</f>
        <v>-</v>
      </c>
      <c r="BH201" s="16711"/>
      <c r="BI201" s="16711"/>
      <c r="BJ201" s="16711"/>
      <c r="BK201" s="16711"/>
      <c r="BL201" s="16855"/>
      <c r="BM201" s="16849"/>
      <c r="BN201" s="16819"/>
      <c r="BO201" s="16820"/>
      <c r="BP201" s="16820" t="str">
        <f>IF(T201="","",T201)</f>
        <v/>
      </c>
      <c r="BQ201" s="16820"/>
      <c r="BR201" s="16820"/>
      <c r="BS201" s="16821">
        <v>0</v>
      </c>
    </row>
    <row s="25569" customFormat="1" customHeight="1" ht="21">
      <c r="A202" s="16804"/>
      <c r="B202" s="16804"/>
      <c r="C202" s="16804"/>
      <c r="D202" s="16804"/>
      <c r="E202" s="16805"/>
      <c r="F202" s="16805"/>
      <c r="G202" s="16805">
        <v>1</v>
      </c>
      <c r="H202" s="16805"/>
      <c r="I202" s="16835"/>
      <c r="J202" s="16823"/>
      <c r="K202" s="16804"/>
      <c r="L202" s="16807"/>
      <c r="M202" s="16824"/>
      <c r="N202" s="16824"/>
      <c r="O202" s="16824"/>
      <c r="P202" s="16825"/>
      <c r="Q202" s="16825"/>
      <c r="R202" s="16826"/>
      <c r="S202" s="19303"/>
      <c r="T202" s="19304" t="s">
        <v>597</v>
      </c>
      <c r="U202" s="19305"/>
      <c r="V202" s="19306"/>
      <c r="W202" s="19307"/>
      <c r="X202" s="19308"/>
      <c r="Y202" s="19309"/>
      <c r="Z202" s="19310"/>
      <c r="AA202" s="19311"/>
      <c r="AB202" s="19312"/>
      <c r="AC202" s="19313"/>
      <c r="AD202" s="19314"/>
      <c r="AE202" s="19315"/>
      <c r="AF202" s="19316"/>
      <c r="AG202" s="19317"/>
      <c r="AH202" s="19318"/>
      <c r="AI202" s="19319"/>
      <c r="AJ202" s="19320"/>
      <c r="AK202" s="19321"/>
      <c r="AL202" s="19322"/>
      <c r="AM202" s="19323"/>
      <c r="AN202" s="19324"/>
      <c r="AO202" s="19325"/>
      <c r="AP202" s="19326"/>
      <c r="AQ202" s="19327"/>
      <c r="AR202" s="19328"/>
      <c r="AS202" s="19329"/>
      <c r="AT202" s="19330"/>
      <c r="AU202" s="19331"/>
      <c r="AV202" s="19332"/>
      <c r="AW202" s="19333"/>
      <c r="AX202" s="19334"/>
      <c r="AY202" s="19335"/>
      <c r="AZ202" s="19336"/>
      <c r="BA202" s="19337"/>
      <c r="BB202" s="19338"/>
      <c r="BC202" s="19339"/>
      <c r="BD202" s="19340"/>
      <c r="BE202" s="19341"/>
      <c r="BF202" s="19342"/>
      <c r="BG202" s="19343"/>
      <c r="BH202" s="19344"/>
      <c r="BI202" s="19345"/>
      <c r="BJ202" s="19346"/>
      <c r="BK202" s="19347"/>
      <c r="BL202" s="19348"/>
      <c r="BM202" s="16818" t="s">
        <v>598</v>
      </c>
      <c r="BN202" s="16819"/>
      <c r="BO202" s="16820"/>
      <c r="BP202" s="16820" t="str">
        <f>IF(T202="","",T202)</f>
        <v>Добавить значение признака дифференциации</v>
      </c>
      <c r="BQ202" s="16820"/>
      <c r="BR202" s="16820"/>
      <c r="BS202" s="16821">
        <v>0</v>
      </c>
    </row>
    <row s="25616" customFormat="1" customHeight="1" ht="21">
      <c r="A203" s="16804"/>
      <c r="B203" s="16804"/>
      <c r="C203" s="16804"/>
      <c r="D203" s="16804"/>
      <c r="E203" s="16805"/>
      <c r="F203" s="16805"/>
      <c r="G203" s="16805">
        <v>1</v>
      </c>
      <c r="H203" s="16805"/>
      <c r="I203" s="16823"/>
      <c r="J203" s="16804"/>
      <c r="K203" s="16804"/>
      <c r="L203" s="16807"/>
      <c r="M203" s="16824"/>
      <c r="N203" s="16824"/>
      <c r="O203" s="16824"/>
      <c r="P203" s="16825"/>
      <c r="Q203" s="16825"/>
      <c r="R203" s="16826"/>
      <c r="S203" s="19350"/>
      <c r="T203" s="19351" t="s">
        <v>526</v>
      </c>
      <c r="U203" s="19352"/>
      <c r="V203" s="19353"/>
      <c r="W203" s="19354"/>
      <c r="X203" s="19355"/>
      <c r="Y203" s="19356"/>
      <c r="Z203" s="19357"/>
      <c r="AA203" s="19358"/>
      <c r="AB203" s="19359"/>
      <c r="AC203" s="19360"/>
      <c r="AD203" s="19361"/>
      <c r="AE203" s="19362"/>
      <c r="AF203" s="19363"/>
      <c r="AG203" s="19364"/>
      <c r="AH203" s="19365"/>
      <c r="AI203" s="19366"/>
      <c r="AJ203" s="19367"/>
      <c r="AK203" s="19368"/>
      <c r="AL203" s="19369"/>
      <c r="AM203" s="19370"/>
      <c r="AN203" s="19371"/>
      <c r="AO203" s="19372"/>
      <c r="AP203" s="19373"/>
      <c r="AQ203" s="19374"/>
      <c r="AR203" s="19375"/>
      <c r="AS203" s="19376"/>
      <c r="AT203" s="19377"/>
      <c r="AU203" s="19378"/>
      <c r="AV203" s="19379"/>
      <c r="AW203" s="19380"/>
      <c r="AX203" s="19381"/>
      <c r="AY203" s="19382"/>
      <c r="AZ203" s="19383"/>
      <c r="BA203" s="19384"/>
      <c r="BB203" s="19385"/>
      <c r="BC203" s="19386"/>
      <c r="BD203" s="19387"/>
      <c r="BE203" s="19388"/>
      <c r="BF203" s="19389"/>
      <c r="BG203" s="19390"/>
      <c r="BH203" s="19391"/>
      <c r="BI203" s="19392"/>
      <c r="BJ203" s="19393"/>
      <c r="BK203" s="19394"/>
      <c r="BL203" s="19395"/>
      <c r="BM203" s="19396"/>
      <c r="BN203" s="16819"/>
      <c r="BO203" s="16820"/>
      <c r="BP203" s="16820" t="str">
        <f>IF(T203="","",T203)</f>
        <v>Добавить группу потребителей</v>
      </c>
      <c r="BQ203" s="16820"/>
      <c r="BR203" s="16820"/>
      <c r="BS203" s="16821">
        <v>0</v>
      </c>
    </row>
    <row s="25664" customFormat="1" customHeight="1" ht="14.25">
      <c r="A204" s="16804"/>
      <c r="B204" s="16804"/>
      <c r="C204" s="16804"/>
      <c r="D204" s="16804"/>
      <c r="E204" s="16805"/>
      <c r="F204" s="16805"/>
      <c r="G204" s="16805">
        <v>1</v>
      </c>
      <c r="H204" s="16806"/>
      <c r="I204" s="16804"/>
      <c r="J204" s="16804"/>
      <c r="K204" s="16804"/>
      <c r="L204" s="16807"/>
      <c r="M204" s="16808"/>
      <c r="N204" s="16808"/>
      <c r="O204" s="16952"/>
      <c r="P204" s="16953"/>
      <c r="Q204" s="16954"/>
      <c r="R204" s="16955"/>
      <c r="S204" s="19398"/>
      <c r="T204" s="19399" t="s">
        <v>599</v>
      </c>
      <c r="U204" s="19400"/>
      <c r="V204" s="19401"/>
      <c r="W204" s="19402"/>
      <c r="X204" s="19403"/>
      <c r="Y204" s="19404"/>
      <c r="Z204" s="19405"/>
      <c r="AA204" s="19406"/>
      <c r="AB204" s="19407"/>
      <c r="AC204" s="19408"/>
      <c r="AD204" s="19409"/>
      <c r="AE204" s="19410"/>
      <c r="AF204" s="19411"/>
      <c r="AG204" s="19412"/>
      <c r="AH204" s="19413"/>
      <c r="AI204" s="19414"/>
      <c r="AJ204" s="19415"/>
      <c r="AK204" s="19416"/>
      <c r="AL204" s="19417"/>
      <c r="AM204" s="19418"/>
      <c r="AN204" s="19419"/>
      <c r="AO204" s="19420"/>
      <c r="AP204" s="19421"/>
      <c r="AQ204" s="19422"/>
      <c r="AR204" s="19423"/>
      <c r="AS204" s="19424"/>
      <c r="AT204" s="19425"/>
      <c r="AU204" s="19426"/>
      <c r="AV204" s="19427"/>
      <c r="AW204" s="19428"/>
      <c r="AX204" s="19429"/>
      <c r="AY204" s="19430"/>
      <c r="AZ204" s="19431"/>
      <c r="BA204" s="19432"/>
      <c r="BB204" s="19433"/>
      <c r="BC204" s="19434"/>
      <c r="BD204" s="19435"/>
      <c r="BE204" s="19436"/>
      <c r="BF204" s="19437"/>
      <c r="BG204" s="19438"/>
      <c r="BH204" s="19439"/>
      <c r="BI204" s="19440"/>
      <c r="BJ204" s="19441"/>
      <c r="BK204" s="19442"/>
      <c r="BL204" s="19443"/>
      <c r="BM204" s="19444"/>
      <c r="BN204" s="16819"/>
      <c r="BO204" s="16820"/>
      <c r="BP204" s="16820" t="str">
        <f>IF(T204="","",T204)</f>
        <v>Добавить наименование признака дифференциации</v>
      </c>
      <c r="BQ204" s="16820"/>
      <c r="BR204" s="16820"/>
      <c r="BS204" s="16821">
        <v>0</v>
      </c>
    </row>
    <row s="25712" customFormat="1" customHeight="1" ht="23.25">
      <c r="A205" s="16804"/>
      <c r="B205" s="16804"/>
      <c r="C205" s="16804" t="s">
        <v>330</v>
      </c>
      <c r="D205" s="16804"/>
      <c r="E205" s="16805"/>
      <c r="F205" s="16805"/>
      <c r="G205" s="16806" t="s">
        <v>90</v>
      </c>
      <c r="H205" s="16804"/>
      <c r="I205" s="16804"/>
      <c r="J205" s="16804"/>
      <c r="K205" s="16804"/>
      <c r="L205" s="16807"/>
      <c r="M205" s="16808"/>
      <c r="N205" s="16808"/>
      <c r="O205" s="16808"/>
      <c r="P205" s="16809"/>
      <c r="Q205" s="16810"/>
      <c r="R205" s="16811"/>
      <c r="S205" s="16812" t="str">
        <f>INDEX(PT_DIFFERENTIATION_NUM_CS,MATCH(C205,PT_DIFFERENTIATION_CS_ID,0))</f>
        <v>1.10.3</v>
      </c>
      <c r="T205" s="16813" t="s">
        <v>592</v>
      </c>
      <c r="U205" s="16814"/>
      <c r="V205" s="16815"/>
      <c r="W205" s="16816"/>
      <c r="X205" s="16816"/>
      <c r="Y205" s="16816"/>
      <c r="Z205" s="16816"/>
      <c r="AA205" s="16816"/>
      <c r="AB205" s="16817"/>
      <c r="AC205" s="16815" t="str">
        <f>INDEX(PT_DIFFERENTIATION_CS,MATCH(C205,PT_DIFFERENTIATION_CS_ID,0))</f>
        <v>с. Абражеевка, с. Васиановка, с. Снегуровка</v>
      </c>
      <c r="AD205" s="16816"/>
      <c r="AE205" s="16816"/>
      <c r="AF205" s="16816"/>
      <c r="AG205" s="16816"/>
      <c r="AH205" s="16816"/>
      <c r="AI205" s="16816"/>
      <c r="AJ205" s="16815"/>
      <c r="AK205" s="16816"/>
      <c r="AL205" s="16816"/>
      <c r="AM205" s="16816"/>
      <c r="AN205" s="16816"/>
      <c r="AO205" s="16816"/>
      <c r="AP205" s="16817"/>
      <c r="AQ205" s="16815"/>
      <c r="AR205" s="16816"/>
      <c r="AS205" s="16816"/>
      <c r="AT205" s="16816"/>
      <c r="AU205" s="16816"/>
      <c r="AV205" s="16816"/>
      <c r="AW205" s="16817"/>
      <c r="AX205" s="16815"/>
      <c r="AY205" s="16816"/>
      <c r="AZ205" s="16816"/>
      <c r="BA205" s="16816"/>
      <c r="BB205" s="16816"/>
      <c r="BC205" s="16816"/>
      <c r="BD205" s="16817"/>
      <c r="BE205" s="16815"/>
      <c r="BF205" s="16816"/>
      <c r="BG205" s="16816"/>
      <c r="BH205" s="16816"/>
      <c r="BI205" s="16816"/>
      <c r="BJ205" s="16816"/>
      <c r="BK205" s="16817"/>
      <c r="BL205" s="16817"/>
      <c r="BM205" s="16818" t="s">
        <v>593</v>
      </c>
      <c r="BN205" s="16819"/>
      <c r="BO205" s="16820"/>
      <c r="BP205" s="16820" t="str">
        <f>IF(T205="","",T205)</f>
        <v>Наименование централизованной системы холодного водоснабжения</v>
      </c>
      <c r="BQ205" s="16820"/>
      <c r="BR205" s="16820"/>
      <c r="BS205" s="16821">
        <v>0</v>
      </c>
    </row>
    <row s="25713" customFormat="1" customHeight="1" ht="23.25">
      <c r="A206" s="16804"/>
      <c r="B206" s="16804"/>
      <c r="C206" s="16804"/>
      <c r="D206" s="16804"/>
      <c r="E206" s="16805"/>
      <c r="F206" s="16805"/>
      <c r="G206" s="16805" t="s">
        <v>103</v>
      </c>
      <c r="H206" s="16805"/>
      <c r="I206" s="16823" t="str">
        <f>S205&amp;".1"</f>
        <v>1.10.3.1</v>
      </c>
      <c r="J206" s="16804"/>
      <c r="K206" s="16804"/>
      <c r="L206" s="16807"/>
      <c r="M206" s="16824"/>
      <c r="N206" s="16824"/>
      <c r="O206" s="16824"/>
      <c r="P206" s="16825">
        <v>1</v>
      </c>
      <c r="Q206" s="16825"/>
      <c r="R206" s="16826"/>
      <c r="S206" s="16812" t="str">
        <f>$I206</f>
        <v>1.10.3.1</v>
      </c>
      <c r="T206" s="16827" t="s">
        <v>594</v>
      </c>
      <c r="U206" s="16814"/>
      <c r="V206" s="16828"/>
      <c r="W206" s="16829"/>
      <c r="X206" s="16829"/>
      <c r="Y206" s="16829"/>
      <c r="Z206" s="16829"/>
      <c r="AA206" s="16829"/>
      <c r="AB206" s="16830"/>
      <c r="AC206" s="16831"/>
      <c r="AD206" s="16832"/>
      <c r="AE206" s="16832"/>
      <c r="AF206" s="16832"/>
      <c r="AG206" s="16832"/>
      <c r="AH206" s="16832"/>
      <c r="AI206" s="16832"/>
      <c r="AJ206" s="16828"/>
      <c r="AK206" s="16829"/>
      <c r="AL206" s="16829"/>
      <c r="AM206" s="16829"/>
      <c r="AN206" s="16829"/>
      <c r="AO206" s="16829"/>
      <c r="AP206" s="16830"/>
      <c r="AQ206" s="16828"/>
      <c r="AR206" s="16829"/>
      <c r="AS206" s="16829"/>
      <c r="AT206" s="16829"/>
      <c r="AU206" s="16829"/>
      <c r="AV206" s="16829"/>
      <c r="AW206" s="16830"/>
      <c r="AX206" s="16828"/>
      <c r="AY206" s="16829"/>
      <c r="AZ206" s="16829"/>
      <c r="BA206" s="16829"/>
      <c r="BB206" s="16829"/>
      <c r="BC206" s="16829"/>
      <c r="BD206" s="16830"/>
      <c r="BE206" s="16828"/>
      <c r="BF206" s="16829"/>
      <c r="BG206" s="16829"/>
      <c r="BH206" s="16829"/>
      <c r="BI206" s="16829"/>
      <c r="BJ206" s="16829"/>
      <c r="BK206" s="16830"/>
      <c r="BL206" s="16833"/>
      <c r="BM206" s="16818" t="s">
        <v>595</v>
      </c>
      <c r="BN206" s="16819"/>
      <c r="BO206" s="16820"/>
      <c r="BP206" s="16820" t="str">
        <f>IF(T206="","",T206)</f>
        <v>Наименование признака дифференциации</v>
      </c>
      <c r="BQ206" s="16820"/>
      <c r="BR206" s="16820"/>
      <c r="BS206" s="16821">
        <v>0</v>
      </c>
    </row>
    <row s="25714" customFormat="1" customHeight="1" ht="23.25">
      <c r="A207" s="16804"/>
      <c r="B207" s="16804"/>
      <c r="C207" s="16804"/>
      <c r="D207" s="16804"/>
      <c r="E207" s="16805"/>
      <c r="F207" s="16805"/>
      <c r="G207" s="16805" t="s">
        <v>103</v>
      </c>
      <c r="H207" s="16805"/>
      <c r="I207" s="16835"/>
      <c r="J207" s="16823" t="str">
        <f>I206&amp;".1"</f>
        <v>1.10.3.1.1</v>
      </c>
      <c r="K207" s="16804"/>
      <c r="L207" s="16807" t="s">
        <v>520</v>
      </c>
      <c r="M207" s="16824"/>
      <c r="N207" s="16824"/>
      <c r="O207" s="16824"/>
      <c r="P207" s="16825"/>
      <c r="Q207" s="16825">
        <v>1</v>
      </c>
      <c r="R207" s="16836"/>
      <c r="S207" s="16812" t="str">
        <f>$J207</f>
        <v>1.10.3.1.1</v>
      </c>
      <c r="T207" s="16837" t="s">
        <v>521</v>
      </c>
      <c r="U207" s="16814"/>
      <c r="V207" s="16838"/>
      <c r="W207" s="16839"/>
      <c r="X207" s="16839"/>
      <c r="Y207" s="16839"/>
      <c r="Z207" s="16839"/>
      <c r="AA207" s="16839"/>
      <c r="AB207" s="16840"/>
      <c r="AC207" s="16838" t="s">
        <v>607</v>
      </c>
      <c r="AD207" s="16839"/>
      <c r="AE207" s="16839"/>
      <c r="AF207" s="16839"/>
      <c r="AG207" s="16839"/>
      <c r="AH207" s="16839"/>
      <c r="AI207" s="16839"/>
      <c r="AJ207" s="16838"/>
      <c r="AK207" s="16839"/>
      <c r="AL207" s="16839"/>
      <c r="AM207" s="16839"/>
      <c r="AN207" s="16839"/>
      <c r="AO207" s="16839"/>
      <c r="AP207" s="16840"/>
      <c r="AQ207" s="16838"/>
      <c r="AR207" s="16839"/>
      <c r="AS207" s="16839"/>
      <c r="AT207" s="16839"/>
      <c r="AU207" s="16839"/>
      <c r="AV207" s="16839"/>
      <c r="AW207" s="16840"/>
      <c r="AX207" s="16838"/>
      <c r="AY207" s="16839"/>
      <c r="AZ207" s="16839"/>
      <c r="BA207" s="16839"/>
      <c r="BB207" s="16839"/>
      <c r="BC207" s="16839"/>
      <c r="BD207" s="16840"/>
      <c r="BE207" s="16838"/>
      <c r="BF207" s="16839"/>
      <c r="BG207" s="16839"/>
      <c r="BH207" s="16839"/>
      <c r="BI207" s="16839"/>
      <c r="BJ207" s="16839"/>
      <c r="BK207" s="16840"/>
      <c r="BL207" s="16840"/>
      <c r="BM207" s="16841" t="s">
        <v>596</v>
      </c>
      <c r="BN207" s="16819"/>
      <c r="BO207" s="16820"/>
      <c r="BP207" s="16820" t="str">
        <f>IF(T207="","",T207)</f>
        <v>Группа потребителей</v>
      </c>
      <c r="BQ207" s="16820"/>
      <c r="BR207" s="16820"/>
      <c r="BS207" s="16821">
        <v>0</v>
      </c>
    </row>
    <row s="25715" customFormat="1" customHeight="1" ht="23.25">
      <c r="A208" s="16804"/>
      <c r="B208" s="16804"/>
      <c r="C208" s="16804"/>
      <c r="D208" s="16804"/>
      <c r="E208" s="16805"/>
      <c r="F208" s="16805"/>
      <c r="G208" s="16805" t="s">
        <v>103</v>
      </c>
      <c r="H208" s="16805"/>
      <c r="I208" s="16835"/>
      <c r="J208" s="16835"/>
      <c r="K208" s="16823" t="str">
        <f>J207&amp;".1"</f>
        <v>1.10.3.1.1.1</v>
      </c>
      <c r="L208" s="16807"/>
      <c r="M208" s="16824"/>
      <c r="N208" s="16824"/>
      <c r="O208" s="16824"/>
      <c r="P208" s="16825"/>
      <c r="Q208" s="16825"/>
      <c r="R208" s="16836">
        <v>1</v>
      </c>
      <c r="S208" s="16812" t="str">
        <f>$K208</f>
        <v>1.10.3.1.1.1</v>
      </c>
      <c r="T208" s="16843" t="s">
        <v>590</v>
      </c>
      <c r="U208" s="16814"/>
      <c r="V208" s="16708"/>
      <c r="W208" s="16708"/>
      <c r="X208" s="16709"/>
      <c r="Y208" s="16710"/>
      <c r="Z208" s="16711" t="s">
        <v>66</v>
      </c>
      <c r="AA208" s="16710"/>
      <c r="AB208" s="16711" t="s">
        <v>66</v>
      </c>
      <c r="AC208" s="16844">
        <v>75.3</v>
      </c>
      <c r="AD208" s="16844"/>
      <c r="AE208" s="16845"/>
      <c r="AF208" s="16846">
        <v>45658.48997685185</v>
      </c>
      <c r="AG208" s="16847" t="s">
        <v>66</v>
      </c>
      <c r="AH208" s="16712">
        <v>46022.49013888889</v>
      </c>
      <c r="AI208" s="16847" t="s">
        <v>66</v>
      </c>
      <c r="AJ208" s="16844">
        <v>72.15</v>
      </c>
      <c r="AK208" s="16844"/>
      <c r="AL208" s="16845"/>
      <c r="AM208" s="16846">
        <v>46023.4971875</v>
      </c>
      <c r="AN208" s="16847" t="s">
        <v>66</v>
      </c>
      <c r="AO208" s="16846">
        <v>46387.49729166667</v>
      </c>
      <c r="AP208" s="16847" t="s">
        <v>66</v>
      </c>
      <c r="AQ208" s="16844">
        <v>74.16</v>
      </c>
      <c r="AR208" s="16844"/>
      <c r="AS208" s="16845"/>
      <c r="AT208" s="16846">
        <v>46388.51094907407</v>
      </c>
      <c r="AU208" s="16847" t="s">
        <v>66</v>
      </c>
      <c r="AV208" s="16846">
        <v>46752.51105324074</v>
      </c>
      <c r="AW208" s="16847" t="s">
        <v>66</v>
      </c>
      <c r="AX208" s="16844">
        <v>76.23</v>
      </c>
      <c r="AY208" s="16844"/>
      <c r="AZ208" s="16845"/>
      <c r="BA208" s="16846">
        <v>46753.51115740741</v>
      </c>
      <c r="BB208" s="16847" t="s">
        <v>66</v>
      </c>
      <c r="BC208" s="16846">
        <v>47118.511342592596</v>
      </c>
      <c r="BD208" s="16847" t="s">
        <v>19</v>
      </c>
      <c r="BE208" s="16708"/>
      <c r="BF208" s="16708"/>
      <c r="BG208" s="16709"/>
      <c r="BH208" s="16710"/>
      <c r="BI208" s="16711" t="s">
        <v>66</v>
      </c>
      <c r="BJ208" s="16710"/>
      <c r="BK208" s="16711" t="s">
        <v>66</v>
      </c>
      <c r="BL208" s="16848"/>
      <c r="BM208"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08" s="16819">
        <f>STRCHECKDATE(V209:BL209)</f>
      </c>
      <c r="BO208" s="16820"/>
      <c r="BP208" s="16820" t="str">
        <f>IF(T208="","",T208)</f>
        <v>без НДС</v>
      </c>
      <c r="BQ208" s="16820"/>
      <c r="BR208" s="16820"/>
      <c r="BS208" s="16821">
        <v>0</v>
      </c>
    </row>
    <row s="25716" customFormat="1" customHeight="1" ht="14.25">
      <c r="A209" s="16804"/>
      <c r="B209" s="16804"/>
      <c r="C209" s="16804"/>
      <c r="D209" s="16804"/>
      <c r="E209" s="16805"/>
      <c r="F209" s="16805"/>
      <c r="G209" s="16805" t="s">
        <v>103</v>
      </c>
      <c r="H209" s="16805"/>
      <c r="I209" s="16835"/>
      <c r="J209" s="16835"/>
      <c r="K209" s="16823"/>
      <c r="L209" s="16807"/>
      <c r="M209" s="16824"/>
      <c r="N209" s="16824"/>
      <c r="O209" s="16824"/>
      <c r="P209" s="16825"/>
      <c r="Q209" s="16825"/>
      <c r="R209" s="16836"/>
      <c r="S209" s="16851"/>
      <c r="T209" s="16814"/>
      <c r="U209" s="16814"/>
      <c r="V209" s="16708"/>
      <c r="W209" s="16708"/>
      <c r="X209" s="16716" t="str">
        <f>Y208&amp;"-"&amp;AA208</f>
        <v>-</v>
      </c>
      <c r="Y209" s="16711"/>
      <c r="Z209" s="16711"/>
      <c r="AA209" s="16711"/>
      <c r="AB209" s="16711"/>
      <c r="AC209" s="16852"/>
      <c r="AD209" s="16852"/>
      <c r="AE209" s="16716" t="str">
        <f>AF208&amp;"-"&amp;AH208</f>
        <v>45658.48997685185-46022.49013888889</v>
      </c>
      <c r="AF209" s="16853"/>
      <c r="AG209" s="16847"/>
      <c r="AH209" s="16854"/>
      <c r="AI209" s="16847"/>
      <c r="AJ209" s="16852"/>
      <c r="AK209" s="16852"/>
      <c r="AL209" s="16716" t="str">
        <f>AM208&amp;"-"&amp;AO208</f>
        <v>46023.4971875-46387.49729166667</v>
      </c>
      <c r="AM209" s="16853"/>
      <c r="AN209" s="16847"/>
      <c r="AO209" s="16853"/>
      <c r="AP209" s="16847"/>
      <c r="AQ209" s="16852"/>
      <c r="AR209" s="16852"/>
      <c r="AS209" s="16716" t="str">
        <f>AT208&amp;"-"&amp;AV208</f>
        <v>46388.51094907407-46752.51105324074</v>
      </c>
      <c r="AT209" s="16853"/>
      <c r="AU209" s="16847"/>
      <c r="AV209" s="16853"/>
      <c r="AW209" s="16847"/>
      <c r="AX209" s="16852"/>
      <c r="AY209" s="16852"/>
      <c r="AZ209" s="16716" t="str">
        <f>BA208&amp;"-"&amp;BC208</f>
        <v>46753.51115740741-47118.511342592596</v>
      </c>
      <c r="BA209" s="16853"/>
      <c r="BB209" s="16847"/>
      <c r="BC209" s="16853"/>
      <c r="BD209" s="16847"/>
      <c r="BE209" s="16708"/>
      <c r="BF209" s="16708"/>
      <c r="BG209" s="16716" t="str">
        <f>BH208&amp;"-"&amp;BJ208</f>
        <v>-</v>
      </c>
      <c r="BH209" s="16711"/>
      <c r="BI209" s="16711"/>
      <c r="BJ209" s="16711"/>
      <c r="BK209" s="16711"/>
      <c r="BL209" s="16855"/>
      <c r="BM209" s="16849"/>
      <c r="BN209" s="16819"/>
      <c r="BO209" s="16820"/>
      <c r="BP209" s="16820" t="str">
        <f>IF(T209="","",T209)</f>
        <v/>
      </c>
      <c r="BQ209" s="16820"/>
      <c r="BR209" s="16820"/>
      <c r="BS209" s="16821">
        <v>0</v>
      </c>
    </row>
    <row s="25717" customFormat="1" customHeight="1" ht="21">
      <c r="A210" s="16804"/>
      <c r="B210" s="16804"/>
      <c r="C210" s="16804"/>
      <c r="D210" s="16804"/>
      <c r="E210" s="16805"/>
      <c r="F210" s="16805"/>
      <c r="G210" s="16805" t="s">
        <v>103</v>
      </c>
      <c r="H210" s="16805"/>
      <c r="I210" s="16835"/>
      <c r="J210" s="16823"/>
      <c r="K210" s="16804"/>
      <c r="L210" s="16807"/>
      <c r="M210" s="16824"/>
      <c r="N210" s="16824"/>
      <c r="O210" s="16824"/>
      <c r="P210" s="16825"/>
      <c r="Q210" s="16825"/>
      <c r="R210" s="16826"/>
      <c r="S210" s="19451"/>
      <c r="T210" s="19452" t="s">
        <v>597</v>
      </c>
      <c r="U210" s="19453"/>
      <c r="V210" s="19454"/>
      <c r="W210" s="19455"/>
      <c r="X210" s="19456"/>
      <c r="Y210" s="19457"/>
      <c r="Z210" s="19458"/>
      <c r="AA210" s="19459"/>
      <c r="AB210" s="19460"/>
      <c r="AC210" s="19461"/>
      <c r="AD210" s="19462"/>
      <c r="AE210" s="19463"/>
      <c r="AF210" s="19464"/>
      <c r="AG210" s="19465"/>
      <c r="AH210" s="19466"/>
      <c r="AI210" s="19467"/>
      <c r="AJ210" s="19468"/>
      <c r="AK210" s="19469"/>
      <c r="AL210" s="19470"/>
      <c r="AM210" s="19471"/>
      <c r="AN210" s="19472"/>
      <c r="AO210" s="19473"/>
      <c r="AP210" s="19474"/>
      <c r="AQ210" s="19475"/>
      <c r="AR210" s="19476"/>
      <c r="AS210" s="19477"/>
      <c r="AT210" s="19478"/>
      <c r="AU210" s="19479"/>
      <c r="AV210" s="19480"/>
      <c r="AW210" s="19481"/>
      <c r="AX210" s="19482"/>
      <c r="AY210" s="19483"/>
      <c r="AZ210" s="19484"/>
      <c r="BA210" s="19485"/>
      <c r="BB210" s="19486"/>
      <c r="BC210" s="19487"/>
      <c r="BD210" s="19488"/>
      <c r="BE210" s="19489"/>
      <c r="BF210" s="19490"/>
      <c r="BG210" s="19491"/>
      <c r="BH210" s="19492"/>
      <c r="BI210" s="19493"/>
      <c r="BJ210" s="19494"/>
      <c r="BK210" s="19495"/>
      <c r="BL210" s="19496"/>
      <c r="BM210" s="16818" t="s">
        <v>598</v>
      </c>
      <c r="BN210" s="16819"/>
      <c r="BO210" s="16820"/>
      <c r="BP210" s="16820" t="str">
        <f>IF(T210="","",T210)</f>
        <v>Добавить значение признака дифференциации</v>
      </c>
      <c r="BQ210" s="16820"/>
      <c r="BR210" s="16820"/>
      <c r="BS210" s="16821">
        <v>0</v>
      </c>
    </row>
    <row s="25764" customFormat="1" customHeight="1" ht="21">
      <c r="A211" s="16804"/>
      <c r="B211" s="16804"/>
      <c r="C211" s="16804"/>
      <c r="D211" s="16804"/>
      <c r="E211" s="16805"/>
      <c r="F211" s="16805"/>
      <c r="G211" s="16805" t="s">
        <v>103</v>
      </c>
      <c r="H211" s="16805"/>
      <c r="I211" s="16823"/>
      <c r="J211" s="16804"/>
      <c r="K211" s="16804"/>
      <c r="L211" s="16807"/>
      <c r="M211" s="16824"/>
      <c r="N211" s="16824"/>
      <c r="O211" s="16824"/>
      <c r="P211" s="16825"/>
      <c r="Q211" s="16825"/>
      <c r="R211" s="16826"/>
      <c r="S211" s="19498"/>
      <c r="T211" s="19499" t="s">
        <v>526</v>
      </c>
      <c r="U211" s="19500"/>
      <c r="V211" s="19501"/>
      <c r="W211" s="19502"/>
      <c r="X211" s="19503"/>
      <c r="Y211" s="19504"/>
      <c r="Z211" s="19505"/>
      <c r="AA211" s="19506"/>
      <c r="AB211" s="19507"/>
      <c r="AC211" s="19508"/>
      <c r="AD211" s="19509"/>
      <c r="AE211" s="19510"/>
      <c r="AF211" s="19511"/>
      <c r="AG211" s="19512"/>
      <c r="AH211" s="19513"/>
      <c r="AI211" s="19514"/>
      <c r="AJ211" s="19515"/>
      <c r="AK211" s="19516"/>
      <c r="AL211" s="19517"/>
      <c r="AM211" s="19518"/>
      <c r="AN211" s="19519"/>
      <c r="AO211" s="19520"/>
      <c r="AP211" s="19521"/>
      <c r="AQ211" s="19522"/>
      <c r="AR211" s="19523"/>
      <c r="AS211" s="19524"/>
      <c r="AT211" s="19525"/>
      <c r="AU211" s="19526"/>
      <c r="AV211" s="19527"/>
      <c r="AW211" s="19528"/>
      <c r="AX211" s="19529"/>
      <c r="AY211" s="19530"/>
      <c r="AZ211" s="19531"/>
      <c r="BA211" s="19532"/>
      <c r="BB211" s="19533"/>
      <c r="BC211" s="19534"/>
      <c r="BD211" s="19535"/>
      <c r="BE211" s="19536"/>
      <c r="BF211" s="19537"/>
      <c r="BG211" s="19538"/>
      <c r="BH211" s="19539"/>
      <c r="BI211" s="19540"/>
      <c r="BJ211" s="19541"/>
      <c r="BK211" s="19542"/>
      <c r="BL211" s="19543"/>
      <c r="BM211" s="19544"/>
      <c r="BN211" s="16819"/>
      <c r="BO211" s="16820"/>
      <c r="BP211" s="16820" t="str">
        <f>IF(T211="","",T211)</f>
        <v>Добавить группу потребителей</v>
      </c>
      <c r="BQ211" s="16820"/>
      <c r="BR211" s="16820"/>
      <c r="BS211" s="16821">
        <v>0</v>
      </c>
    </row>
    <row s="25812" customFormat="1" customHeight="1" ht="14.25">
      <c r="A212" s="16804"/>
      <c r="B212" s="16804"/>
      <c r="C212" s="16804"/>
      <c r="D212" s="16804"/>
      <c r="E212" s="16805"/>
      <c r="F212" s="16805"/>
      <c r="G212" s="16805" t="s">
        <v>103</v>
      </c>
      <c r="H212" s="16806"/>
      <c r="I212" s="16804"/>
      <c r="J212" s="16804"/>
      <c r="K212" s="16804"/>
      <c r="L212" s="16807"/>
      <c r="M212" s="16808"/>
      <c r="N212" s="16808"/>
      <c r="O212" s="16952"/>
      <c r="P212" s="16953"/>
      <c r="Q212" s="16954"/>
      <c r="R212" s="16955"/>
      <c r="S212" s="19546"/>
      <c r="T212" s="19547" t="s">
        <v>599</v>
      </c>
      <c r="U212" s="19548"/>
      <c r="V212" s="19549"/>
      <c r="W212" s="19550"/>
      <c r="X212" s="19551"/>
      <c r="Y212" s="19552"/>
      <c r="Z212" s="19553"/>
      <c r="AA212" s="19554"/>
      <c r="AB212" s="19555"/>
      <c r="AC212" s="19556"/>
      <c r="AD212" s="19557"/>
      <c r="AE212" s="19558"/>
      <c r="AF212" s="19559"/>
      <c r="AG212" s="19560"/>
      <c r="AH212" s="19561"/>
      <c r="AI212" s="19562"/>
      <c r="AJ212" s="19563"/>
      <c r="AK212" s="19564"/>
      <c r="AL212" s="19565"/>
      <c r="AM212" s="19566"/>
      <c r="AN212" s="19567"/>
      <c r="AO212" s="19568"/>
      <c r="AP212" s="19569"/>
      <c r="AQ212" s="19570"/>
      <c r="AR212" s="19571"/>
      <c r="AS212" s="19572"/>
      <c r="AT212" s="19573"/>
      <c r="AU212" s="19574"/>
      <c r="AV212" s="19575"/>
      <c r="AW212" s="19576"/>
      <c r="AX212" s="19577"/>
      <c r="AY212" s="19578"/>
      <c r="AZ212" s="19579"/>
      <c r="BA212" s="19580"/>
      <c r="BB212" s="19581"/>
      <c r="BC212" s="19582"/>
      <c r="BD212" s="19583"/>
      <c r="BE212" s="19584"/>
      <c r="BF212" s="19585"/>
      <c r="BG212" s="19586"/>
      <c r="BH212" s="19587"/>
      <c r="BI212" s="19588"/>
      <c r="BJ212" s="19589"/>
      <c r="BK212" s="19590"/>
      <c r="BL212" s="19591"/>
      <c r="BM212" s="19592"/>
      <c r="BN212" s="16819"/>
      <c r="BO212" s="16820"/>
      <c r="BP212" s="16820" t="str">
        <f>IF(T212="","",T212)</f>
        <v>Добавить наименование признака дифференциации</v>
      </c>
      <c r="BQ212" s="16820"/>
      <c r="BR212" s="16820"/>
      <c r="BS212" s="16821">
        <v>0</v>
      </c>
    </row>
    <row s="25860" customFormat="1" customHeight="1" ht="23.25">
      <c r="A213" s="16804"/>
      <c r="B213" s="16804"/>
      <c r="C213" s="16804" t="s">
        <v>333</v>
      </c>
      <c r="D213" s="16804"/>
      <c r="E213" s="16805"/>
      <c r="F213" s="16805"/>
      <c r="G213" s="16806" t="s">
        <v>91</v>
      </c>
      <c r="H213" s="16804"/>
      <c r="I213" s="16804"/>
      <c r="J213" s="16804"/>
      <c r="K213" s="16804"/>
      <c r="L213" s="16807"/>
      <c r="M213" s="16808"/>
      <c r="N213" s="16808"/>
      <c r="O213" s="16808"/>
      <c r="P213" s="16809"/>
      <c r="Q213" s="16810"/>
      <c r="R213" s="16811"/>
      <c r="S213" s="16812" t="str">
        <f>INDEX(PT_DIFFERENTIATION_NUM_CS,MATCH(C213,PT_DIFFERENTIATION_CS_ID,0))</f>
        <v>1.10.4</v>
      </c>
      <c r="T213" s="16813" t="s">
        <v>592</v>
      </c>
      <c r="U213" s="16814"/>
      <c r="V213" s="16815"/>
      <c r="W213" s="16816"/>
      <c r="X213" s="16816"/>
      <c r="Y213" s="16816"/>
      <c r="Z213" s="16816"/>
      <c r="AA213" s="16816"/>
      <c r="AB213" s="16817"/>
      <c r="AC213" s="16815" t="str">
        <f>INDEX(PT_DIFFERENTIATION_CS,MATCH(C213,PT_DIFFERENTIATION_CS_ID,0))</f>
        <v>с.Реттиховка</v>
      </c>
      <c r="AD213" s="16816"/>
      <c r="AE213" s="16816"/>
      <c r="AF213" s="16816"/>
      <c r="AG213" s="16816"/>
      <c r="AH213" s="16816"/>
      <c r="AI213" s="16816"/>
      <c r="AJ213" s="16815"/>
      <c r="AK213" s="16816"/>
      <c r="AL213" s="16816"/>
      <c r="AM213" s="16816"/>
      <c r="AN213" s="16816"/>
      <c r="AO213" s="16816"/>
      <c r="AP213" s="16817"/>
      <c r="AQ213" s="16815"/>
      <c r="AR213" s="16816"/>
      <c r="AS213" s="16816"/>
      <c r="AT213" s="16816"/>
      <c r="AU213" s="16816"/>
      <c r="AV213" s="16816"/>
      <c r="AW213" s="16817"/>
      <c r="AX213" s="16815"/>
      <c r="AY213" s="16816"/>
      <c r="AZ213" s="16816"/>
      <c r="BA213" s="16816"/>
      <c r="BB213" s="16816"/>
      <c r="BC213" s="16816"/>
      <c r="BD213" s="16817"/>
      <c r="BE213" s="16815"/>
      <c r="BF213" s="16816"/>
      <c r="BG213" s="16816"/>
      <c r="BH213" s="16816"/>
      <c r="BI213" s="16816"/>
      <c r="BJ213" s="16816"/>
      <c r="BK213" s="16817"/>
      <c r="BL213" s="16817"/>
      <c r="BM213" s="16818" t="s">
        <v>593</v>
      </c>
      <c r="BN213" s="16819"/>
      <c r="BO213" s="16820"/>
      <c r="BP213" s="16820" t="str">
        <f>IF(T213="","",T213)</f>
        <v>Наименование централизованной системы холодного водоснабжения</v>
      </c>
      <c r="BQ213" s="16820"/>
      <c r="BR213" s="16820"/>
      <c r="BS213" s="16821">
        <v>0</v>
      </c>
    </row>
    <row s="25861" customFormat="1" customHeight="1" ht="23.25">
      <c r="A214" s="16804"/>
      <c r="B214" s="16804"/>
      <c r="C214" s="16804"/>
      <c r="D214" s="16804"/>
      <c r="E214" s="16805"/>
      <c r="F214" s="16805"/>
      <c r="G214" s="16805" t="s">
        <v>90</v>
      </c>
      <c r="H214" s="16805"/>
      <c r="I214" s="16823" t="str">
        <f>S213&amp;".1"</f>
        <v>1.10.4.1</v>
      </c>
      <c r="J214" s="16804"/>
      <c r="K214" s="16804"/>
      <c r="L214" s="16807"/>
      <c r="M214" s="16824"/>
      <c r="N214" s="16824"/>
      <c r="O214" s="16824"/>
      <c r="P214" s="16825">
        <v>1</v>
      </c>
      <c r="Q214" s="16825"/>
      <c r="R214" s="16826"/>
      <c r="S214" s="16812" t="str">
        <f>$I214</f>
        <v>1.10.4.1</v>
      </c>
      <c r="T214" s="16827" t="s">
        <v>594</v>
      </c>
      <c r="U214" s="16814"/>
      <c r="V214" s="16828"/>
      <c r="W214" s="16829"/>
      <c r="X214" s="16829"/>
      <c r="Y214" s="16829"/>
      <c r="Z214" s="16829"/>
      <c r="AA214" s="16829"/>
      <c r="AB214" s="16830"/>
      <c r="AC214" s="16831"/>
      <c r="AD214" s="16832"/>
      <c r="AE214" s="16832"/>
      <c r="AF214" s="16832"/>
      <c r="AG214" s="16832"/>
      <c r="AH214" s="16832"/>
      <c r="AI214" s="16832"/>
      <c r="AJ214" s="16828"/>
      <c r="AK214" s="16829"/>
      <c r="AL214" s="16829"/>
      <c r="AM214" s="16829"/>
      <c r="AN214" s="16829"/>
      <c r="AO214" s="16829"/>
      <c r="AP214" s="16830"/>
      <c r="AQ214" s="16828"/>
      <c r="AR214" s="16829"/>
      <c r="AS214" s="16829"/>
      <c r="AT214" s="16829"/>
      <c r="AU214" s="16829"/>
      <c r="AV214" s="16829"/>
      <c r="AW214" s="16830"/>
      <c r="AX214" s="16828"/>
      <c r="AY214" s="16829"/>
      <c r="AZ214" s="16829"/>
      <c r="BA214" s="16829"/>
      <c r="BB214" s="16829"/>
      <c r="BC214" s="16829"/>
      <c r="BD214" s="16830"/>
      <c r="BE214" s="16828"/>
      <c r="BF214" s="16829"/>
      <c r="BG214" s="16829"/>
      <c r="BH214" s="16829"/>
      <c r="BI214" s="16829"/>
      <c r="BJ214" s="16829"/>
      <c r="BK214" s="16830"/>
      <c r="BL214" s="16833"/>
      <c r="BM214" s="16818" t="s">
        <v>595</v>
      </c>
      <c r="BN214" s="16819"/>
      <c r="BO214" s="16820"/>
      <c r="BP214" s="16820" t="str">
        <f>IF(T214="","",T214)</f>
        <v>Наименование признака дифференциации</v>
      </c>
      <c r="BQ214" s="16820"/>
      <c r="BR214" s="16820"/>
      <c r="BS214" s="16821">
        <v>0</v>
      </c>
    </row>
    <row s="25862" customFormat="1" customHeight="1" ht="23.25">
      <c r="A215" s="16804"/>
      <c r="B215" s="16804"/>
      <c r="C215" s="16804"/>
      <c r="D215" s="16804"/>
      <c r="E215" s="16805"/>
      <c r="F215" s="16805"/>
      <c r="G215" s="16805" t="s">
        <v>90</v>
      </c>
      <c r="H215" s="16805"/>
      <c r="I215" s="16835"/>
      <c r="J215" s="16823" t="str">
        <f>I214&amp;".1"</f>
        <v>1.10.4.1.1</v>
      </c>
      <c r="K215" s="16804"/>
      <c r="L215" s="16807" t="s">
        <v>520</v>
      </c>
      <c r="M215" s="16824"/>
      <c r="N215" s="16824"/>
      <c r="O215" s="16824"/>
      <c r="P215" s="16825"/>
      <c r="Q215" s="16825">
        <v>1</v>
      </c>
      <c r="R215" s="16836"/>
      <c r="S215" s="16812" t="str">
        <f>$J215</f>
        <v>1.10.4.1.1</v>
      </c>
      <c r="T215" s="16837" t="s">
        <v>521</v>
      </c>
      <c r="U215" s="16814"/>
      <c r="V215" s="16838"/>
      <c r="W215" s="16839"/>
      <c r="X215" s="16839"/>
      <c r="Y215" s="16839"/>
      <c r="Z215" s="16839"/>
      <c r="AA215" s="16839"/>
      <c r="AB215" s="16840"/>
      <c r="AC215" s="16838" t="s">
        <v>607</v>
      </c>
      <c r="AD215" s="16839"/>
      <c r="AE215" s="16839"/>
      <c r="AF215" s="16839"/>
      <c r="AG215" s="16839"/>
      <c r="AH215" s="16839"/>
      <c r="AI215" s="16839"/>
      <c r="AJ215" s="16838"/>
      <c r="AK215" s="16839"/>
      <c r="AL215" s="16839"/>
      <c r="AM215" s="16839"/>
      <c r="AN215" s="16839"/>
      <c r="AO215" s="16839"/>
      <c r="AP215" s="16840"/>
      <c r="AQ215" s="16838"/>
      <c r="AR215" s="16839"/>
      <c r="AS215" s="16839"/>
      <c r="AT215" s="16839"/>
      <c r="AU215" s="16839"/>
      <c r="AV215" s="16839"/>
      <c r="AW215" s="16840"/>
      <c r="AX215" s="16838"/>
      <c r="AY215" s="16839"/>
      <c r="AZ215" s="16839"/>
      <c r="BA215" s="16839"/>
      <c r="BB215" s="16839"/>
      <c r="BC215" s="16839"/>
      <c r="BD215" s="16840"/>
      <c r="BE215" s="16838"/>
      <c r="BF215" s="16839"/>
      <c r="BG215" s="16839"/>
      <c r="BH215" s="16839"/>
      <c r="BI215" s="16839"/>
      <c r="BJ215" s="16839"/>
      <c r="BK215" s="16840"/>
      <c r="BL215" s="16840"/>
      <c r="BM215" s="16841" t="s">
        <v>596</v>
      </c>
      <c r="BN215" s="16819"/>
      <c r="BO215" s="16820"/>
      <c r="BP215" s="16820" t="str">
        <f>IF(T215="","",T215)</f>
        <v>Группа потребителей</v>
      </c>
      <c r="BQ215" s="16820"/>
      <c r="BR215" s="16820"/>
      <c r="BS215" s="16821">
        <v>0</v>
      </c>
    </row>
    <row s="25863" customFormat="1" customHeight="1" ht="23.25">
      <c r="A216" s="16804"/>
      <c r="B216" s="16804"/>
      <c r="C216" s="16804"/>
      <c r="D216" s="16804"/>
      <c r="E216" s="16805"/>
      <c r="F216" s="16805"/>
      <c r="G216" s="16805" t="s">
        <v>90</v>
      </c>
      <c r="H216" s="16805"/>
      <c r="I216" s="16835"/>
      <c r="J216" s="16835"/>
      <c r="K216" s="16823" t="str">
        <f>J215&amp;".1"</f>
        <v>1.10.4.1.1.1</v>
      </c>
      <c r="L216" s="16807"/>
      <c r="M216" s="16824"/>
      <c r="N216" s="16824"/>
      <c r="O216" s="16824"/>
      <c r="P216" s="16825"/>
      <c r="Q216" s="16825"/>
      <c r="R216" s="16836">
        <v>1</v>
      </c>
      <c r="S216" s="16812" t="str">
        <f>$K216</f>
        <v>1.10.4.1.1.1</v>
      </c>
      <c r="T216" s="16843"/>
      <c r="U216" s="16814"/>
      <c r="V216" s="16708"/>
      <c r="W216" s="16708"/>
      <c r="X216" s="16709"/>
      <c r="Y216" s="16710"/>
      <c r="Z216" s="16711" t="s">
        <v>66</v>
      </c>
      <c r="AA216" s="16710"/>
      <c r="AB216" s="16711" t="s">
        <v>66</v>
      </c>
      <c r="AC216" s="16844">
        <v>44.99</v>
      </c>
      <c r="AD216" s="16844"/>
      <c r="AE216" s="16845"/>
      <c r="AF216" s="16846">
        <v>45658.68056712963</v>
      </c>
      <c r="AG216" s="16847" t="s">
        <v>66</v>
      </c>
      <c r="AH216" s="16712">
        <v>46022.68067129629</v>
      </c>
      <c r="AI216" s="16847" t="s">
        <v>66</v>
      </c>
      <c r="AJ216" s="16844">
        <v>41.59</v>
      </c>
      <c r="AK216" s="16844"/>
      <c r="AL216" s="16845"/>
      <c r="AM216" s="16846">
        <v>46023.68079861111</v>
      </c>
      <c r="AN216" s="16847" t="s">
        <v>66</v>
      </c>
      <c r="AO216" s="16846">
        <v>46387.680914351855</v>
      </c>
      <c r="AP216" s="16847" t="s">
        <v>66</v>
      </c>
      <c r="AQ216" s="16844">
        <v>42.76</v>
      </c>
      <c r="AR216" s="16844"/>
      <c r="AS216" s="16845"/>
      <c r="AT216" s="16846">
        <v>46388.68113425926</v>
      </c>
      <c r="AU216" s="16847" t="s">
        <v>66</v>
      </c>
      <c r="AV216" s="16846">
        <v>46752.68126157407</v>
      </c>
      <c r="AW216" s="16847" t="s">
        <v>66</v>
      </c>
      <c r="AX216" s="16844">
        <v>43.97</v>
      </c>
      <c r="AY216" s="16844"/>
      <c r="AZ216" s="16845"/>
      <c r="BA216" s="16846">
        <v>46753.681446759256</v>
      </c>
      <c r="BB216" s="16847" t="s">
        <v>66</v>
      </c>
      <c r="BC216" s="16846">
        <v>47118.6815625</v>
      </c>
      <c r="BD216" s="16847" t="s">
        <v>19</v>
      </c>
      <c r="BE216" s="16708"/>
      <c r="BF216" s="16708"/>
      <c r="BG216" s="16709"/>
      <c r="BH216" s="16710"/>
      <c r="BI216" s="16711" t="s">
        <v>66</v>
      </c>
      <c r="BJ216" s="16710"/>
      <c r="BK216" s="16711" t="s">
        <v>66</v>
      </c>
      <c r="BL216" s="16848"/>
      <c r="BM21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16" s="16819">
        <f>STRCHECKDATE(V217:BL217)</f>
      </c>
      <c r="BO216" s="16820"/>
      <c r="BP216" s="16820" t="str">
        <f>IF(T216="","",T216)</f>
        <v/>
      </c>
      <c r="BQ216" s="16820"/>
      <c r="BR216" s="16820"/>
      <c r="BS216" s="16821">
        <v>0</v>
      </c>
    </row>
    <row s="25864" customFormat="1" customHeight="1" ht="14.25">
      <c r="A217" s="16804"/>
      <c r="B217" s="16804"/>
      <c r="C217" s="16804"/>
      <c r="D217" s="16804"/>
      <c r="E217" s="16805"/>
      <c r="F217" s="16805"/>
      <c r="G217" s="16805" t="s">
        <v>90</v>
      </c>
      <c r="H217" s="16805"/>
      <c r="I217" s="16835"/>
      <c r="J217" s="16835"/>
      <c r="K217" s="16823"/>
      <c r="L217" s="16807"/>
      <c r="M217" s="16824"/>
      <c r="N217" s="16824"/>
      <c r="O217" s="16824"/>
      <c r="P217" s="16825"/>
      <c r="Q217" s="16825"/>
      <c r="R217" s="16836"/>
      <c r="S217" s="16851"/>
      <c r="T217" s="16814"/>
      <c r="U217" s="16814"/>
      <c r="V217" s="16708"/>
      <c r="W217" s="16708"/>
      <c r="X217" s="16716" t="str">
        <f>Y216&amp;"-"&amp;AA216</f>
        <v>-</v>
      </c>
      <c r="Y217" s="16711"/>
      <c r="Z217" s="16711"/>
      <c r="AA217" s="16711"/>
      <c r="AB217" s="16711"/>
      <c r="AC217" s="16852"/>
      <c r="AD217" s="16852"/>
      <c r="AE217" s="16716" t="str">
        <f>AF216&amp;"-"&amp;AH216</f>
        <v>45658.68056712963-46022.68067129629</v>
      </c>
      <c r="AF217" s="16853"/>
      <c r="AG217" s="16847"/>
      <c r="AH217" s="16854"/>
      <c r="AI217" s="16847"/>
      <c r="AJ217" s="16852"/>
      <c r="AK217" s="16852"/>
      <c r="AL217" s="16716" t="str">
        <f>AM216&amp;"-"&amp;AO216</f>
        <v>46023.68079861111-46387.680914351855</v>
      </c>
      <c r="AM217" s="16853"/>
      <c r="AN217" s="16847"/>
      <c r="AO217" s="16853"/>
      <c r="AP217" s="16847"/>
      <c r="AQ217" s="16852"/>
      <c r="AR217" s="16852"/>
      <c r="AS217" s="16716" t="str">
        <f>AT216&amp;"-"&amp;AV216</f>
        <v>46388.68113425926-46752.68126157407</v>
      </c>
      <c r="AT217" s="16853"/>
      <c r="AU217" s="16847"/>
      <c r="AV217" s="16853"/>
      <c r="AW217" s="16847"/>
      <c r="AX217" s="16852"/>
      <c r="AY217" s="16852"/>
      <c r="AZ217" s="16716" t="str">
        <f>BA216&amp;"-"&amp;BC216</f>
        <v>46753.681446759256-47118.6815625</v>
      </c>
      <c r="BA217" s="16853"/>
      <c r="BB217" s="16847"/>
      <c r="BC217" s="16853"/>
      <c r="BD217" s="16847"/>
      <c r="BE217" s="16708"/>
      <c r="BF217" s="16708"/>
      <c r="BG217" s="16716" t="str">
        <f>BH216&amp;"-"&amp;BJ216</f>
        <v>-</v>
      </c>
      <c r="BH217" s="16711"/>
      <c r="BI217" s="16711"/>
      <c r="BJ217" s="16711"/>
      <c r="BK217" s="16711"/>
      <c r="BL217" s="16855"/>
      <c r="BM217" s="16849"/>
      <c r="BN217" s="16819"/>
      <c r="BO217" s="16820"/>
      <c r="BP217" s="16820" t="str">
        <f>IF(T217="","",T217)</f>
        <v/>
      </c>
      <c r="BQ217" s="16820"/>
      <c r="BR217" s="16820"/>
      <c r="BS217" s="16821">
        <v>0</v>
      </c>
    </row>
    <row s="25865" customFormat="1" customHeight="1" ht="21">
      <c r="A218" s="16804"/>
      <c r="B218" s="16804"/>
      <c r="C218" s="16804"/>
      <c r="D218" s="16804"/>
      <c r="E218" s="16805"/>
      <c r="F218" s="16805"/>
      <c r="G218" s="16805" t="s">
        <v>90</v>
      </c>
      <c r="H218" s="16805"/>
      <c r="I218" s="16835"/>
      <c r="J218" s="16823"/>
      <c r="K218" s="16804"/>
      <c r="L218" s="16807"/>
      <c r="M218" s="16824"/>
      <c r="N218" s="16824"/>
      <c r="O218" s="16824"/>
      <c r="P218" s="16825"/>
      <c r="Q218" s="16825"/>
      <c r="R218" s="16826"/>
      <c r="S218" s="19599"/>
      <c r="T218" s="19600" t="s">
        <v>597</v>
      </c>
      <c r="U218" s="19601"/>
      <c r="V218" s="19602"/>
      <c r="W218" s="19603"/>
      <c r="X218" s="19604"/>
      <c r="Y218" s="19605"/>
      <c r="Z218" s="19606"/>
      <c r="AA218" s="19607"/>
      <c r="AB218" s="19608"/>
      <c r="AC218" s="19609"/>
      <c r="AD218" s="19610"/>
      <c r="AE218" s="19611"/>
      <c r="AF218" s="19612"/>
      <c r="AG218" s="19613"/>
      <c r="AH218" s="19614"/>
      <c r="AI218" s="19615"/>
      <c r="AJ218" s="19616"/>
      <c r="AK218" s="19617"/>
      <c r="AL218" s="19618"/>
      <c r="AM218" s="19619"/>
      <c r="AN218" s="19620"/>
      <c r="AO218" s="19621"/>
      <c r="AP218" s="19622"/>
      <c r="AQ218" s="19623"/>
      <c r="AR218" s="19624"/>
      <c r="AS218" s="19625"/>
      <c r="AT218" s="19626"/>
      <c r="AU218" s="19627"/>
      <c r="AV218" s="19628"/>
      <c r="AW218" s="19629"/>
      <c r="AX218" s="19630"/>
      <c r="AY218" s="19631"/>
      <c r="AZ218" s="19632"/>
      <c r="BA218" s="19633"/>
      <c r="BB218" s="19634"/>
      <c r="BC218" s="19635"/>
      <c r="BD218" s="19636"/>
      <c r="BE218" s="19637"/>
      <c r="BF218" s="19638"/>
      <c r="BG218" s="19639"/>
      <c r="BH218" s="19640"/>
      <c r="BI218" s="19641"/>
      <c r="BJ218" s="19642"/>
      <c r="BK218" s="19643"/>
      <c r="BL218" s="19644"/>
      <c r="BM218" s="16818" t="s">
        <v>598</v>
      </c>
      <c r="BN218" s="16819"/>
      <c r="BO218" s="16820"/>
      <c r="BP218" s="16820" t="str">
        <f>IF(T218="","",T218)</f>
        <v>Добавить значение признака дифференциации</v>
      </c>
      <c r="BQ218" s="16820"/>
      <c r="BR218" s="16820"/>
      <c r="BS218" s="16821">
        <v>0</v>
      </c>
    </row>
    <row s="25912" customFormat="1" customHeight="1" ht="21">
      <c r="A219" s="16804"/>
      <c r="B219" s="16804"/>
      <c r="C219" s="16804"/>
      <c r="D219" s="16804"/>
      <c r="E219" s="16805"/>
      <c r="F219" s="16805"/>
      <c r="G219" s="16805" t="s">
        <v>90</v>
      </c>
      <c r="H219" s="16805"/>
      <c r="I219" s="16823"/>
      <c r="J219" s="16804"/>
      <c r="K219" s="16804"/>
      <c r="L219" s="16807"/>
      <c r="M219" s="16824"/>
      <c r="N219" s="16824"/>
      <c r="O219" s="16824"/>
      <c r="P219" s="16825"/>
      <c r="Q219" s="16825"/>
      <c r="R219" s="16826"/>
      <c r="S219" s="19646"/>
      <c r="T219" s="19647" t="s">
        <v>526</v>
      </c>
      <c r="U219" s="19648"/>
      <c r="V219" s="19649"/>
      <c r="W219" s="19650"/>
      <c r="X219" s="19651"/>
      <c r="Y219" s="19652"/>
      <c r="Z219" s="19653"/>
      <c r="AA219" s="19654"/>
      <c r="AB219" s="19655"/>
      <c r="AC219" s="19656"/>
      <c r="AD219" s="19657"/>
      <c r="AE219" s="19658"/>
      <c r="AF219" s="19659"/>
      <c r="AG219" s="19660"/>
      <c r="AH219" s="19661"/>
      <c r="AI219" s="19662"/>
      <c r="AJ219" s="19663"/>
      <c r="AK219" s="19664"/>
      <c r="AL219" s="19665"/>
      <c r="AM219" s="19666"/>
      <c r="AN219" s="19667"/>
      <c r="AO219" s="19668"/>
      <c r="AP219" s="19669"/>
      <c r="AQ219" s="19670"/>
      <c r="AR219" s="19671"/>
      <c r="AS219" s="19672"/>
      <c r="AT219" s="19673"/>
      <c r="AU219" s="19674"/>
      <c r="AV219" s="19675"/>
      <c r="AW219" s="19676"/>
      <c r="AX219" s="19677"/>
      <c r="AY219" s="19678"/>
      <c r="AZ219" s="19679"/>
      <c r="BA219" s="19680"/>
      <c r="BB219" s="19681"/>
      <c r="BC219" s="19682"/>
      <c r="BD219" s="19683"/>
      <c r="BE219" s="19684"/>
      <c r="BF219" s="19685"/>
      <c r="BG219" s="19686"/>
      <c r="BH219" s="19687"/>
      <c r="BI219" s="19688"/>
      <c r="BJ219" s="19689"/>
      <c r="BK219" s="19690"/>
      <c r="BL219" s="19691"/>
      <c r="BM219" s="19692"/>
      <c r="BN219" s="16819"/>
      <c r="BO219" s="16820"/>
      <c r="BP219" s="16820" t="str">
        <f>IF(T219="","",T219)</f>
        <v>Добавить группу потребителей</v>
      </c>
      <c r="BQ219" s="16820"/>
      <c r="BR219" s="16820"/>
      <c r="BS219" s="16821">
        <v>0</v>
      </c>
    </row>
    <row s="25960" customFormat="1" customHeight="1" ht="14.25">
      <c r="A220" s="16804"/>
      <c r="B220" s="16804"/>
      <c r="C220" s="16804"/>
      <c r="D220" s="16804"/>
      <c r="E220" s="16805"/>
      <c r="F220" s="16805"/>
      <c r="G220" s="16805" t="s">
        <v>90</v>
      </c>
      <c r="H220" s="16806"/>
      <c r="I220" s="16804"/>
      <c r="J220" s="16804"/>
      <c r="K220" s="16804"/>
      <c r="L220" s="16807"/>
      <c r="M220" s="16808"/>
      <c r="N220" s="16808"/>
      <c r="O220" s="16952"/>
      <c r="P220" s="16953"/>
      <c r="Q220" s="16954"/>
      <c r="R220" s="16955"/>
      <c r="S220" s="19694"/>
      <c r="T220" s="19695" t="s">
        <v>599</v>
      </c>
      <c r="U220" s="19696"/>
      <c r="V220" s="19697"/>
      <c r="W220" s="19698"/>
      <c r="X220" s="19699"/>
      <c r="Y220" s="19700"/>
      <c r="Z220" s="19701"/>
      <c r="AA220" s="19702"/>
      <c r="AB220" s="19703"/>
      <c r="AC220" s="19704"/>
      <c r="AD220" s="19705"/>
      <c r="AE220" s="19706"/>
      <c r="AF220" s="19707"/>
      <c r="AG220" s="19708"/>
      <c r="AH220" s="19709"/>
      <c r="AI220" s="19710"/>
      <c r="AJ220" s="19711"/>
      <c r="AK220" s="19712"/>
      <c r="AL220" s="19713"/>
      <c r="AM220" s="19714"/>
      <c r="AN220" s="19715"/>
      <c r="AO220" s="19716"/>
      <c r="AP220" s="19717"/>
      <c r="AQ220" s="19718"/>
      <c r="AR220" s="19719"/>
      <c r="AS220" s="19720"/>
      <c r="AT220" s="19721"/>
      <c r="AU220" s="19722"/>
      <c r="AV220" s="19723"/>
      <c r="AW220" s="19724"/>
      <c r="AX220" s="19725"/>
      <c r="AY220" s="19726"/>
      <c r="AZ220" s="19727"/>
      <c r="BA220" s="19728"/>
      <c r="BB220" s="19729"/>
      <c r="BC220" s="19730"/>
      <c r="BD220" s="19731"/>
      <c r="BE220" s="19732"/>
      <c r="BF220" s="19733"/>
      <c r="BG220" s="19734"/>
      <c r="BH220" s="19735"/>
      <c r="BI220" s="19736"/>
      <c r="BJ220" s="19737"/>
      <c r="BK220" s="19738"/>
      <c r="BL220" s="19739"/>
      <c r="BM220" s="19740"/>
      <c r="BN220" s="16819"/>
      <c r="BO220" s="16820"/>
      <c r="BP220" s="16820" t="str">
        <f>IF(T220="","",T220)</f>
        <v>Добавить наименование признака дифференциации</v>
      </c>
      <c r="BQ220" s="16820"/>
      <c r="BR220" s="16820"/>
      <c r="BS220" s="16821">
        <v>0</v>
      </c>
    </row>
    <row s="26008" customFormat="1" customHeight="1" ht="14.25">
      <c r="A221" s="17944"/>
      <c r="B221" s="17944"/>
      <c r="C221" s="17944"/>
      <c r="D221" s="17944"/>
      <c r="E221" s="16805"/>
      <c r="F221" s="16806" t="s">
        <v>134</v>
      </c>
      <c r="G221" s="17944"/>
      <c r="H221" s="17944"/>
      <c r="I221" s="17944"/>
      <c r="J221" s="17944"/>
      <c r="K221" s="17944"/>
      <c r="L221" s="17945"/>
      <c r="M221" s="17946"/>
      <c r="N221" s="17946"/>
      <c r="O221" s="16819"/>
      <c r="P221" s="17947"/>
      <c r="Q221" s="17948"/>
      <c r="R221" s="17947"/>
      <c r="S221" s="17949"/>
      <c r="T221" s="17950" t="s">
        <v>280</v>
      </c>
      <c r="U221" s="17951"/>
      <c r="V221" s="17951"/>
      <c r="W221" s="17951"/>
      <c r="X221" s="17951"/>
      <c r="Y221" s="17951"/>
      <c r="Z221" s="17951"/>
      <c r="AA221" s="17951"/>
      <c r="AB221" s="17951"/>
      <c r="AC221" s="17951"/>
      <c r="AD221" s="17951"/>
      <c r="AE221" s="17951"/>
      <c r="AF221" s="17951"/>
      <c r="AG221" s="17951"/>
      <c r="AH221" s="17951"/>
      <c r="AI221" s="17951"/>
      <c r="AJ221" s="17951"/>
      <c r="AK221" s="17951"/>
      <c r="AL221" s="17951"/>
      <c r="AM221" s="17951"/>
      <c r="AN221" s="17951"/>
      <c r="AO221" s="17951"/>
      <c r="AP221" s="17951"/>
      <c r="AQ221" s="17951"/>
      <c r="AR221" s="17951"/>
      <c r="AS221" s="17951"/>
      <c r="AT221" s="17951"/>
      <c r="AU221" s="17951"/>
      <c r="AV221" s="17951"/>
      <c r="AW221" s="17951"/>
      <c r="AX221" s="17951"/>
      <c r="AY221" s="17951"/>
      <c r="AZ221" s="17951"/>
      <c r="BA221" s="17951"/>
      <c r="BB221" s="17951"/>
      <c r="BC221" s="17951"/>
      <c r="BD221" s="17951"/>
      <c r="BE221" s="17951"/>
      <c r="BF221" s="17951"/>
      <c r="BG221" s="17951"/>
      <c r="BH221" s="17951"/>
      <c r="BI221" s="17951"/>
      <c r="BJ221" s="17951"/>
      <c r="BK221" s="17951"/>
      <c r="BL221" s="17951"/>
      <c r="BM221" s="17951"/>
      <c r="BN221" s="16819"/>
      <c r="BO221" s="16820"/>
      <c r="BP221" s="16820" t="str">
        <f>IF(T221="","",T221)</f>
        <v>Добавить централизованную систему для дифференциации</v>
      </c>
      <c r="BQ221" s="16820"/>
      <c r="BR221" s="16820"/>
      <c r="BS221" s="16819">
        <v>0</v>
      </c>
    </row>
    <row s="26009" customFormat="1" customHeight="1" ht="23.25">
      <c r="A222" s="16804"/>
      <c r="B222" s="16804" t="s">
        <v>336</v>
      </c>
      <c r="C222" s="16804"/>
      <c r="D222" s="16804"/>
      <c r="E222" s="16805"/>
      <c r="F222" s="16806" t="s">
        <v>143</v>
      </c>
      <c r="G222" s="16804"/>
      <c r="H222" s="16804"/>
      <c r="I222" s="16804"/>
      <c r="J222" s="16804"/>
      <c r="K222" s="16804"/>
      <c r="L222" s="16807"/>
      <c r="M222" s="16808"/>
      <c r="N222" s="16808"/>
      <c r="O222" s="16808"/>
      <c r="P222" s="17793"/>
      <c r="Q222" s="16810"/>
      <c r="R222" s="16811"/>
      <c r="S222" s="16812" t="str">
        <f>INDEX(PT_DIFFERENTIATION_NUM_TER,MATCH(B222,PT_DIFFERENTIATION_TER_ID,0))</f>
        <v>1.11</v>
      </c>
      <c r="T222" s="17794" t="s">
        <v>511</v>
      </c>
      <c r="U222" s="16814"/>
      <c r="V222" s="16815"/>
      <c r="W222" s="16816"/>
      <c r="X222" s="16816"/>
      <c r="Y222" s="16816"/>
      <c r="Z222" s="16816"/>
      <c r="AA222" s="16816"/>
      <c r="AB222" s="16817"/>
      <c r="AC222" s="16815" t="str">
        <f>INDEX(PT_DIFFERENTIATION_TER,MATCH(B222,PT_DIFFERENTIATION_TER_ID,0))</f>
        <v>Территория 11</v>
      </c>
      <c r="AD222" s="16816"/>
      <c r="AE222" s="16816"/>
      <c r="AF222" s="16816"/>
      <c r="AG222" s="16816"/>
      <c r="AH222" s="16816"/>
      <c r="AI222" s="16816"/>
      <c r="AJ222" s="16815"/>
      <c r="AK222" s="16816"/>
      <c r="AL222" s="16816"/>
      <c r="AM222" s="16816"/>
      <c r="AN222" s="16816"/>
      <c r="AO222" s="16816"/>
      <c r="AP222" s="16817"/>
      <c r="AQ222" s="16815"/>
      <c r="AR222" s="16816"/>
      <c r="AS222" s="16816"/>
      <c r="AT222" s="16816"/>
      <c r="AU222" s="16816"/>
      <c r="AV222" s="16816"/>
      <c r="AW222" s="16817"/>
      <c r="AX222" s="16815"/>
      <c r="AY222" s="16816"/>
      <c r="AZ222" s="16816"/>
      <c r="BA222" s="16816"/>
      <c r="BB222" s="16816"/>
      <c r="BC222" s="16816"/>
      <c r="BD222" s="16817"/>
      <c r="BE222" s="16815"/>
      <c r="BF222" s="16816"/>
      <c r="BG222" s="16816"/>
      <c r="BH222" s="16816"/>
      <c r="BI222" s="16816"/>
      <c r="BJ222" s="16816"/>
      <c r="BK222" s="16817"/>
      <c r="BL222" s="16817"/>
      <c r="BM222" s="16818" t="s">
        <v>512</v>
      </c>
      <c r="BN222" s="16819"/>
      <c r="BO222" s="16820"/>
      <c r="BP222" s="16820" t="str">
        <f>IF(T222="","",T222)</f>
        <v>Территория действия тарифа</v>
      </c>
      <c r="BQ222" s="16820"/>
      <c r="BR222" s="16820"/>
      <c r="BS222" s="16821">
        <v>0</v>
      </c>
    </row>
    <row s="26010" customFormat="1" customHeight="1" ht="23.25">
      <c r="A223" s="16804"/>
      <c r="B223" s="16804"/>
      <c r="C223" s="16804" t="s">
        <v>337</v>
      </c>
      <c r="D223" s="16804"/>
      <c r="E223" s="16805"/>
      <c r="F223" s="16805" t="s">
        <v>138</v>
      </c>
      <c r="G223" s="16806">
        <v>1</v>
      </c>
      <c r="H223" s="16804"/>
      <c r="I223" s="16804"/>
      <c r="J223" s="16804"/>
      <c r="K223" s="16804"/>
      <c r="L223" s="16807"/>
      <c r="M223" s="16808"/>
      <c r="N223" s="16808"/>
      <c r="O223" s="16808"/>
      <c r="P223" s="16809"/>
      <c r="Q223" s="16810"/>
      <c r="R223" s="16811"/>
      <c r="S223" s="16812" t="str">
        <f>INDEX(PT_DIFFERENTIATION_NUM_CS,MATCH(C223,PT_DIFFERENTIATION_CS_ID,0))</f>
        <v>1.11.1</v>
      </c>
      <c r="T223" s="16813" t="s">
        <v>592</v>
      </c>
      <c r="U223" s="16814"/>
      <c r="V223" s="16815"/>
      <c r="W223" s="16816"/>
      <c r="X223" s="16816"/>
      <c r="Y223" s="16816"/>
      <c r="Z223" s="16816"/>
      <c r="AA223" s="16816"/>
      <c r="AB223" s="16817"/>
      <c r="AC223" s="16815" t="str">
        <f>INDEX(PT_DIFFERENTIATION_CS,MATCH(C223,PT_DIFFERENTIATION_CS_ID,0))</f>
        <v>с. Анучино, с. Новогордеевка</v>
      </c>
      <c r="AD223" s="16816"/>
      <c r="AE223" s="16816"/>
      <c r="AF223" s="16816"/>
      <c r="AG223" s="16816"/>
      <c r="AH223" s="16816"/>
      <c r="AI223" s="16816"/>
      <c r="AJ223" s="16815"/>
      <c r="AK223" s="16816"/>
      <c r="AL223" s="16816"/>
      <c r="AM223" s="16816"/>
      <c r="AN223" s="16816"/>
      <c r="AO223" s="16816"/>
      <c r="AP223" s="16817"/>
      <c r="AQ223" s="16815"/>
      <c r="AR223" s="16816"/>
      <c r="AS223" s="16816"/>
      <c r="AT223" s="16816"/>
      <c r="AU223" s="16816"/>
      <c r="AV223" s="16816"/>
      <c r="AW223" s="16817"/>
      <c r="AX223" s="16815"/>
      <c r="AY223" s="16816"/>
      <c r="AZ223" s="16816"/>
      <c r="BA223" s="16816"/>
      <c r="BB223" s="16816"/>
      <c r="BC223" s="16816"/>
      <c r="BD223" s="16817"/>
      <c r="BE223" s="16815"/>
      <c r="BF223" s="16816"/>
      <c r="BG223" s="16816"/>
      <c r="BH223" s="16816"/>
      <c r="BI223" s="16816"/>
      <c r="BJ223" s="16816"/>
      <c r="BK223" s="16817"/>
      <c r="BL223" s="16817"/>
      <c r="BM223" s="16818" t="s">
        <v>593</v>
      </c>
      <c r="BN223" s="16819"/>
      <c r="BO223" s="16820"/>
      <c r="BP223" s="16820" t="str">
        <f>IF(T223="","",T223)</f>
        <v>Наименование централизованной системы холодного водоснабжения</v>
      </c>
      <c r="BQ223" s="16820"/>
      <c r="BR223" s="16820"/>
      <c r="BS223" s="16821">
        <v>0</v>
      </c>
    </row>
    <row s="26011" customFormat="1" customHeight="1" ht="23.25">
      <c r="A224" s="16804"/>
      <c r="B224" s="16804"/>
      <c r="C224" s="16804"/>
      <c r="D224" s="16804"/>
      <c r="E224" s="16805"/>
      <c r="F224" s="16805" t="s">
        <v>138</v>
      </c>
      <c r="G224" s="16805"/>
      <c r="H224" s="16805"/>
      <c r="I224" s="16823" t="str">
        <f>S223&amp;".1"</f>
        <v>1.11.1.1</v>
      </c>
      <c r="J224" s="16804"/>
      <c r="K224" s="16804"/>
      <c r="L224" s="16807"/>
      <c r="M224" s="16824"/>
      <c r="N224" s="16824"/>
      <c r="O224" s="16824"/>
      <c r="P224" s="16825">
        <v>1</v>
      </c>
      <c r="Q224" s="16825"/>
      <c r="R224" s="16826"/>
      <c r="S224" s="16812" t="str">
        <f>$I224</f>
        <v>1.11.1.1</v>
      </c>
      <c r="T224" s="16827" t="s">
        <v>594</v>
      </c>
      <c r="U224" s="16814"/>
      <c r="V224" s="16828"/>
      <c r="W224" s="16829"/>
      <c r="X224" s="16829"/>
      <c r="Y224" s="16829"/>
      <c r="Z224" s="16829"/>
      <c r="AA224" s="16829"/>
      <c r="AB224" s="16830"/>
      <c r="AC224" s="16831"/>
      <c r="AD224" s="16832"/>
      <c r="AE224" s="16832"/>
      <c r="AF224" s="16832"/>
      <c r="AG224" s="16832"/>
      <c r="AH224" s="16832"/>
      <c r="AI224" s="16832"/>
      <c r="AJ224" s="16828"/>
      <c r="AK224" s="16829"/>
      <c r="AL224" s="16829"/>
      <c r="AM224" s="16829"/>
      <c r="AN224" s="16829"/>
      <c r="AO224" s="16829"/>
      <c r="AP224" s="16830"/>
      <c r="AQ224" s="16828"/>
      <c r="AR224" s="16829"/>
      <c r="AS224" s="16829"/>
      <c r="AT224" s="16829"/>
      <c r="AU224" s="16829"/>
      <c r="AV224" s="16829"/>
      <c r="AW224" s="16830"/>
      <c r="AX224" s="16828"/>
      <c r="AY224" s="16829"/>
      <c r="AZ224" s="16829"/>
      <c r="BA224" s="16829"/>
      <c r="BB224" s="16829"/>
      <c r="BC224" s="16829"/>
      <c r="BD224" s="16830"/>
      <c r="BE224" s="16828"/>
      <c r="BF224" s="16829"/>
      <c r="BG224" s="16829"/>
      <c r="BH224" s="16829"/>
      <c r="BI224" s="16829"/>
      <c r="BJ224" s="16829"/>
      <c r="BK224" s="16830"/>
      <c r="BL224" s="16833"/>
      <c r="BM224" s="16818" t="s">
        <v>595</v>
      </c>
      <c r="BN224" s="16819"/>
      <c r="BO224" s="16820"/>
      <c r="BP224" s="16820" t="str">
        <f>IF(T224="","",T224)</f>
        <v>Наименование признака дифференциации</v>
      </c>
      <c r="BQ224" s="16820"/>
      <c r="BR224" s="16820"/>
      <c r="BS224" s="16821">
        <v>0</v>
      </c>
    </row>
    <row s="26012" customFormat="1" customHeight="1" ht="23.25">
      <c r="A225" s="16804"/>
      <c r="B225" s="16804"/>
      <c r="C225" s="16804"/>
      <c r="D225" s="16804"/>
      <c r="E225" s="16805"/>
      <c r="F225" s="16805" t="s">
        <v>138</v>
      </c>
      <c r="G225" s="16805"/>
      <c r="H225" s="16805"/>
      <c r="I225" s="16835"/>
      <c r="J225" s="16823" t="str">
        <f>I224&amp;".1"</f>
        <v>1.11.1.1.1</v>
      </c>
      <c r="K225" s="16804"/>
      <c r="L225" s="16807" t="s">
        <v>520</v>
      </c>
      <c r="M225" s="16824"/>
      <c r="N225" s="16824"/>
      <c r="O225" s="16824"/>
      <c r="P225" s="16825"/>
      <c r="Q225" s="16825">
        <v>1</v>
      </c>
      <c r="R225" s="16836"/>
      <c r="S225" s="16812" t="str">
        <f>$J225</f>
        <v>1.11.1.1.1</v>
      </c>
      <c r="T225" s="16837" t="s">
        <v>521</v>
      </c>
      <c r="U225" s="16814"/>
      <c r="V225" s="16838"/>
      <c r="W225" s="16839"/>
      <c r="X225" s="16839"/>
      <c r="Y225" s="16839"/>
      <c r="Z225" s="16839"/>
      <c r="AA225" s="16839"/>
      <c r="AB225" s="16840"/>
      <c r="AC225" s="16838" t="s">
        <v>607</v>
      </c>
      <c r="AD225" s="16839"/>
      <c r="AE225" s="16839"/>
      <c r="AF225" s="16839"/>
      <c r="AG225" s="16839"/>
      <c r="AH225" s="16839"/>
      <c r="AI225" s="16839"/>
      <c r="AJ225" s="16838"/>
      <c r="AK225" s="16839"/>
      <c r="AL225" s="16839"/>
      <c r="AM225" s="16839"/>
      <c r="AN225" s="16839"/>
      <c r="AO225" s="16839"/>
      <c r="AP225" s="16840"/>
      <c r="AQ225" s="16838"/>
      <c r="AR225" s="16839"/>
      <c r="AS225" s="16839"/>
      <c r="AT225" s="16839"/>
      <c r="AU225" s="16839"/>
      <c r="AV225" s="16839"/>
      <c r="AW225" s="16840"/>
      <c r="AX225" s="16838"/>
      <c r="AY225" s="16839"/>
      <c r="AZ225" s="16839"/>
      <c r="BA225" s="16839"/>
      <c r="BB225" s="16839"/>
      <c r="BC225" s="16839"/>
      <c r="BD225" s="16840"/>
      <c r="BE225" s="16838"/>
      <c r="BF225" s="16839"/>
      <c r="BG225" s="16839"/>
      <c r="BH225" s="16839"/>
      <c r="BI225" s="16839"/>
      <c r="BJ225" s="16839"/>
      <c r="BK225" s="16840"/>
      <c r="BL225" s="16840"/>
      <c r="BM225" s="16841" t="s">
        <v>596</v>
      </c>
      <c r="BN225" s="16819"/>
      <c r="BO225" s="16820"/>
      <c r="BP225" s="16820" t="str">
        <f>IF(T225="","",T225)</f>
        <v>Группа потребителей</v>
      </c>
      <c r="BQ225" s="16820"/>
      <c r="BR225" s="16820"/>
      <c r="BS225" s="16821">
        <v>0</v>
      </c>
    </row>
    <row s="26013" customFormat="1" customHeight="1" ht="23.25">
      <c r="A226" s="16804"/>
      <c r="B226" s="16804"/>
      <c r="C226" s="16804"/>
      <c r="D226" s="16804"/>
      <c r="E226" s="16805"/>
      <c r="F226" s="16805" t="s">
        <v>138</v>
      </c>
      <c r="G226" s="16805"/>
      <c r="H226" s="16805"/>
      <c r="I226" s="16835"/>
      <c r="J226" s="16835"/>
      <c r="K226" s="16823" t="str">
        <f>J225&amp;".1"</f>
        <v>1.11.1.1.1.1</v>
      </c>
      <c r="L226" s="16807"/>
      <c r="M226" s="16824"/>
      <c r="N226" s="16824"/>
      <c r="O226" s="16824"/>
      <c r="P226" s="16825"/>
      <c r="Q226" s="16825"/>
      <c r="R226" s="16836">
        <v>1</v>
      </c>
      <c r="S226" s="16812" t="str">
        <f>$K226</f>
        <v>1.11.1.1.1.1</v>
      </c>
      <c r="T226" s="16843" t="s">
        <v>590</v>
      </c>
      <c r="U226" s="16814"/>
      <c r="V226" s="16708"/>
      <c r="W226" s="16708"/>
      <c r="X226" s="16709"/>
      <c r="Y226" s="16710"/>
      <c r="Z226" s="16711" t="s">
        <v>66</v>
      </c>
      <c r="AA226" s="16710"/>
      <c r="AB226" s="16711" t="s">
        <v>66</v>
      </c>
      <c r="AC226" s="16844">
        <v>63.33</v>
      </c>
      <c r="AD226" s="16844"/>
      <c r="AE226" s="16845"/>
      <c r="AF226" s="16846">
        <v>45658.49040509259</v>
      </c>
      <c r="AG226" s="16847" t="s">
        <v>66</v>
      </c>
      <c r="AH226" s="16712">
        <v>46022.49050925926</v>
      </c>
      <c r="AI226" s="16847" t="s">
        <v>66</v>
      </c>
      <c r="AJ226" s="16844">
        <v>60.25</v>
      </c>
      <c r="AK226" s="16844"/>
      <c r="AL226" s="16845"/>
      <c r="AM226" s="16846">
        <v>46023.49744212963</v>
      </c>
      <c r="AN226" s="16847" t="s">
        <v>66</v>
      </c>
      <c r="AO226" s="16846">
        <v>46387.497662037036</v>
      </c>
      <c r="AP226" s="16847" t="s">
        <v>66</v>
      </c>
      <c r="AQ226" s="16844">
        <v>62.02</v>
      </c>
      <c r="AR226" s="16844"/>
      <c r="AS226" s="16845"/>
      <c r="AT226" s="16846">
        <v>46388.51190972222</v>
      </c>
      <c r="AU226" s="16847" t="s">
        <v>66</v>
      </c>
      <c r="AV226" s="16846">
        <v>46752.512037037035</v>
      </c>
      <c r="AW226" s="16847" t="s">
        <v>66</v>
      </c>
      <c r="AX226" s="16844">
        <v>63.85</v>
      </c>
      <c r="AY226" s="16844"/>
      <c r="AZ226" s="16845"/>
      <c r="BA226" s="16846">
        <v>46753.51219907407</v>
      </c>
      <c r="BB226" s="16847" t="s">
        <v>66</v>
      </c>
      <c r="BC226" s="16846">
        <v>47118.51230324074</v>
      </c>
      <c r="BD226" s="16847" t="s">
        <v>19</v>
      </c>
      <c r="BE226" s="16708"/>
      <c r="BF226" s="16708"/>
      <c r="BG226" s="16709"/>
      <c r="BH226" s="16710"/>
      <c r="BI226" s="16711" t="s">
        <v>66</v>
      </c>
      <c r="BJ226" s="16710"/>
      <c r="BK226" s="16711" t="s">
        <v>66</v>
      </c>
      <c r="BL226" s="16848"/>
      <c r="BM226" s="168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226" s="16819">
        <f>STRCHECKDATE(V227:BL227)</f>
      </c>
      <c r="BO226" s="16820"/>
      <c r="BP226" s="16820" t="str">
        <f>IF(T226="","",T226)</f>
        <v>без НДС</v>
      </c>
      <c r="BQ226" s="16820"/>
      <c r="BR226" s="16820"/>
      <c r="BS226" s="16821">
        <v>0</v>
      </c>
    </row>
    <row s="26014" customFormat="1" customHeight="1" ht="14.25">
      <c r="A227" s="16804"/>
      <c r="B227" s="16804"/>
      <c r="C227" s="16804"/>
      <c r="D227" s="16804"/>
      <c r="E227" s="16805"/>
      <c r="F227" s="16805" t="s">
        <v>138</v>
      </c>
      <c r="G227" s="16805"/>
      <c r="H227" s="16805"/>
      <c r="I227" s="16835"/>
      <c r="J227" s="16835"/>
      <c r="K227" s="16823"/>
      <c r="L227" s="16807"/>
      <c r="M227" s="16824"/>
      <c r="N227" s="16824"/>
      <c r="O227" s="16824"/>
      <c r="P227" s="16825"/>
      <c r="Q227" s="16825"/>
      <c r="R227" s="16836"/>
      <c r="S227" s="16851"/>
      <c r="T227" s="16814"/>
      <c r="U227" s="16814"/>
      <c r="V227" s="16708"/>
      <c r="W227" s="16708"/>
      <c r="X227" s="16716" t="str">
        <f>Y226&amp;"-"&amp;AA226</f>
        <v>-</v>
      </c>
      <c r="Y227" s="16711"/>
      <c r="Z227" s="16711"/>
      <c r="AA227" s="16711"/>
      <c r="AB227" s="16711"/>
      <c r="AC227" s="16852"/>
      <c r="AD227" s="16852"/>
      <c r="AE227" s="16716" t="str">
        <f>AF226&amp;"-"&amp;AH226</f>
        <v>45658.49040509259-46022.49050925926</v>
      </c>
      <c r="AF227" s="16853"/>
      <c r="AG227" s="16847"/>
      <c r="AH227" s="16854"/>
      <c r="AI227" s="16847"/>
      <c r="AJ227" s="16852"/>
      <c r="AK227" s="16852"/>
      <c r="AL227" s="16716" t="str">
        <f>AM226&amp;"-"&amp;AO226</f>
        <v>46023.49744212963-46387.497662037036</v>
      </c>
      <c r="AM227" s="16853"/>
      <c r="AN227" s="16847"/>
      <c r="AO227" s="16853"/>
      <c r="AP227" s="16847"/>
      <c r="AQ227" s="16852"/>
      <c r="AR227" s="16852"/>
      <c r="AS227" s="16716" t="str">
        <f>AT226&amp;"-"&amp;AV226</f>
        <v>46388.51190972222-46752.512037037035</v>
      </c>
      <c r="AT227" s="16853"/>
      <c r="AU227" s="16847"/>
      <c r="AV227" s="16853"/>
      <c r="AW227" s="16847"/>
      <c r="AX227" s="16852"/>
      <c r="AY227" s="16852"/>
      <c r="AZ227" s="16716" t="str">
        <f>BA226&amp;"-"&amp;BC226</f>
        <v>46753.51219907407-47118.51230324074</v>
      </c>
      <c r="BA227" s="16853"/>
      <c r="BB227" s="16847"/>
      <c r="BC227" s="16853"/>
      <c r="BD227" s="16847"/>
      <c r="BE227" s="16708"/>
      <c r="BF227" s="16708"/>
      <c r="BG227" s="16716" t="str">
        <f>BH226&amp;"-"&amp;BJ226</f>
        <v>-</v>
      </c>
      <c r="BH227" s="16711"/>
      <c r="BI227" s="16711"/>
      <c r="BJ227" s="16711"/>
      <c r="BK227" s="16711"/>
      <c r="BL227" s="16855"/>
      <c r="BM227" s="16849"/>
      <c r="BN227" s="16819"/>
      <c r="BO227" s="16820"/>
      <c r="BP227" s="16820" t="str">
        <f>IF(T227="","",T227)</f>
        <v/>
      </c>
      <c r="BQ227" s="16820"/>
      <c r="BR227" s="16820"/>
      <c r="BS227" s="16821">
        <v>0</v>
      </c>
    </row>
    <row s="26015" customFormat="1" customHeight="1" ht="21">
      <c r="A228" s="16804"/>
      <c r="B228" s="16804"/>
      <c r="C228" s="16804"/>
      <c r="D228" s="16804"/>
      <c r="E228" s="16805"/>
      <c r="F228" s="16805" t="s">
        <v>138</v>
      </c>
      <c r="G228" s="16805"/>
      <c r="H228" s="16805"/>
      <c r="I228" s="16835"/>
      <c r="J228" s="16823"/>
      <c r="K228" s="16804"/>
      <c r="L228" s="16807"/>
      <c r="M228" s="16824"/>
      <c r="N228" s="16824"/>
      <c r="O228" s="16824"/>
      <c r="P228" s="16825"/>
      <c r="Q228" s="16825"/>
      <c r="R228" s="16826"/>
      <c r="S228" s="19749"/>
      <c r="T228" s="19750" t="s">
        <v>597</v>
      </c>
      <c r="U228" s="19751"/>
      <c r="V228" s="19752"/>
      <c r="W228" s="19753"/>
      <c r="X228" s="19754"/>
      <c r="Y228" s="19755"/>
      <c r="Z228" s="19756"/>
      <c r="AA228" s="19757"/>
      <c r="AB228" s="19758"/>
      <c r="AC228" s="19759"/>
      <c r="AD228" s="19760"/>
      <c r="AE228" s="19761"/>
      <c r="AF228" s="19762"/>
      <c r="AG228" s="19763"/>
      <c r="AH228" s="19764"/>
      <c r="AI228" s="19765"/>
      <c r="AJ228" s="19766"/>
      <c r="AK228" s="19767"/>
      <c r="AL228" s="19768"/>
      <c r="AM228" s="19769"/>
      <c r="AN228" s="19770"/>
      <c r="AO228" s="19771"/>
      <c r="AP228" s="19772"/>
      <c r="AQ228" s="19773"/>
      <c r="AR228" s="19774"/>
      <c r="AS228" s="19775"/>
      <c r="AT228" s="19776"/>
      <c r="AU228" s="19777"/>
      <c r="AV228" s="19778"/>
      <c r="AW228" s="19779"/>
      <c r="AX228" s="19780"/>
      <c r="AY228" s="19781"/>
      <c r="AZ228" s="19782"/>
      <c r="BA228" s="19783"/>
      <c r="BB228" s="19784"/>
      <c r="BC228" s="19785"/>
      <c r="BD228" s="19786"/>
      <c r="BE228" s="19787"/>
      <c r="BF228" s="19788"/>
      <c r="BG228" s="19789"/>
      <c r="BH228" s="19790"/>
      <c r="BI228" s="19791"/>
      <c r="BJ228" s="19792"/>
      <c r="BK228" s="19793"/>
      <c r="BL228" s="19794"/>
      <c r="BM228" s="16818" t="s">
        <v>598</v>
      </c>
      <c r="BN228" s="16819"/>
      <c r="BO228" s="16820"/>
      <c r="BP228" s="16820" t="str">
        <f>IF(T228="","",T228)</f>
        <v>Добавить значение признака дифференциации</v>
      </c>
      <c r="BQ228" s="16820"/>
      <c r="BR228" s="16820"/>
      <c r="BS228" s="16821">
        <v>0</v>
      </c>
    </row>
    <row s="26062" customFormat="1" customHeight="1" ht="21">
      <c r="A229" s="16804"/>
      <c r="B229" s="16804"/>
      <c r="C229" s="16804"/>
      <c r="D229" s="16804"/>
      <c r="E229" s="16805"/>
      <c r="F229" s="16805" t="s">
        <v>138</v>
      </c>
      <c r="G229" s="16805"/>
      <c r="H229" s="16805"/>
      <c r="I229" s="16823"/>
      <c r="J229" s="16804"/>
      <c r="K229" s="16804"/>
      <c r="L229" s="16807"/>
      <c r="M229" s="16824"/>
      <c r="N229" s="16824"/>
      <c r="O229" s="16824"/>
      <c r="P229" s="16825"/>
      <c r="Q229" s="16825"/>
      <c r="R229" s="16826"/>
      <c r="S229" s="19796"/>
      <c r="T229" s="19797" t="s">
        <v>526</v>
      </c>
      <c r="U229" s="19798"/>
      <c r="V229" s="19799"/>
      <c r="W229" s="19800"/>
      <c r="X229" s="19801"/>
      <c r="Y229" s="19802"/>
      <c r="Z229" s="19803"/>
      <c r="AA229" s="19804"/>
      <c r="AB229" s="19805"/>
      <c r="AC229" s="19806"/>
      <c r="AD229" s="19807"/>
      <c r="AE229" s="19808"/>
      <c r="AF229" s="19809"/>
      <c r="AG229" s="19810"/>
      <c r="AH229" s="19811"/>
      <c r="AI229" s="19812"/>
      <c r="AJ229" s="19813"/>
      <c r="AK229" s="19814"/>
      <c r="AL229" s="19815"/>
      <c r="AM229" s="19816"/>
      <c r="AN229" s="19817"/>
      <c r="AO229" s="19818"/>
      <c r="AP229" s="19819"/>
      <c r="AQ229" s="19820"/>
      <c r="AR229" s="19821"/>
      <c r="AS229" s="19822"/>
      <c r="AT229" s="19823"/>
      <c r="AU229" s="19824"/>
      <c r="AV229" s="19825"/>
      <c r="AW229" s="19826"/>
      <c r="AX229" s="19827"/>
      <c r="AY229" s="19828"/>
      <c r="AZ229" s="19829"/>
      <c r="BA229" s="19830"/>
      <c r="BB229" s="19831"/>
      <c r="BC229" s="19832"/>
      <c r="BD229" s="19833"/>
      <c r="BE229" s="19834"/>
      <c r="BF229" s="19835"/>
      <c r="BG229" s="19836"/>
      <c r="BH229" s="19837"/>
      <c r="BI229" s="19838"/>
      <c r="BJ229" s="19839"/>
      <c r="BK229" s="19840"/>
      <c r="BL229" s="19841"/>
      <c r="BM229" s="19842"/>
      <c r="BN229" s="16819"/>
      <c r="BO229" s="16820"/>
      <c r="BP229" s="16820" t="str">
        <f>IF(T229="","",T229)</f>
        <v>Добавить группу потребителей</v>
      </c>
      <c r="BQ229" s="16820"/>
      <c r="BR229" s="16820"/>
      <c r="BS229" s="16821">
        <v>0</v>
      </c>
    </row>
    <row s="26110" customFormat="1" customHeight="1" ht="14.25">
      <c r="A230" s="16804"/>
      <c r="B230" s="16804"/>
      <c r="C230" s="16804"/>
      <c r="D230" s="16804"/>
      <c r="E230" s="16805"/>
      <c r="F230" s="16805" t="s">
        <v>138</v>
      </c>
      <c r="G230" s="16805"/>
      <c r="H230" s="16806"/>
      <c r="I230" s="16804"/>
      <c r="J230" s="16804"/>
      <c r="K230" s="16804"/>
      <c r="L230" s="16807"/>
      <c r="M230" s="16808"/>
      <c r="N230" s="16808"/>
      <c r="O230" s="16952"/>
      <c r="P230" s="16953"/>
      <c r="Q230" s="16954"/>
      <c r="R230" s="16955"/>
      <c r="S230" s="19844"/>
      <c r="T230" s="19845" t="s">
        <v>599</v>
      </c>
      <c r="U230" s="19846"/>
      <c r="V230" s="19847"/>
      <c r="W230" s="19848"/>
      <c r="X230" s="19849"/>
      <c r="Y230" s="19850"/>
      <c r="Z230" s="19851"/>
      <c r="AA230" s="19852"/>
      <c r="AB230" s="19853"/>
      <c r="AC230" s="19854"/>
      <c r="AD230" s="19855"/>
      <c r="AE230" s="19856"/>
      <c r="AF230" s="19857"/>
      <c r="AG230" s="19858"/>
      <c r="AH230" s="19859"/>
      <c r="AI230" s="19860"/>
      <c r="AJ230" s="19861"/>
      <c r="AK230" s="19862"/>
      <c r="AL230" s="19863"/>
      <c r="AM230" s="19864"/>
      <c r="AN230" s="19865"/>
      <c r="AO230" s="19866"/>
      <c r="AP230" s="19867"/>
      <c r="AQ230" s="19868"/>
      <c r="AR230" s="19869"/>
      <c r="AS230" s="19870"/>
      <c r="AT230" s="19871"/>
      <c r="AU230" s="19872"/>
      <c r="AV230" s="19873"/>
      <c r="AW230" s="19874"/>
      <c r="AX230" s="19875"/>
      <c r="AY230" s="19876"/>
      <c r="AZ230" s="19877"/>
      <c r="BA230" s="19878"/>
      <c r="BB230" s="19879"/>
      <c r="BC230" s="19880"/>
      <c r="BD230" s="19881"/>
      <c r="BE230" s="19882"/>
      <c r="BF230" s="19883"/>
      <c r="BG230" s="19884"/>
      <c r="BH230" s="19885"/>
      <c r="BI230" s="19886"/>
      <c r="BJ230" s="19887"/>
      <c r="BK230" s="19888"/>
      <c r="BL230" s="19889"/>
      <c r="BM230" s="19890"/>
      <c r="BN230" s="16819"/>
      <c r="BO230" s="16820"/>
      <c r="BP230" s="16820" t="str">
        <f>IF(T230="","",T230)</f>
        <v>Добавить наименование признака дифференциации</v>
      </c>
      <c r="BQ230" s="16820"/>
      <c r="BR230" s="16820"/>
      <c r="BS230" s="16821">
        <v>0</v>
      </c>
    </row>
    <row s="26158" customFormat="1" customHeight="1" ht="14.25">
      <c r="A231" s="17944"/>
      <c r="B231" s="17944"/>
      <c r="C231" s="17944"/>
      <c r="D231" s="17944"/>
      <c r="E231" s="16805"/>
      <c r="F231" s="16806" t="s">
        <v>138</v>
      </c>
      <c r="G231" s="17944"/>
      <c r="H231" s="17944"/>
      <c r="I231" s="17944"/>
      <c r="J231" s="17944"/>
      <c r="K231" s="17944"/>
      <c r="L231" s="17945"/>
      <c r="M231" s="17946"/>
      <c r="N231" s="17946"/>
      <c r="O231" s="16819"/>
      <c r="P231" s="17947"/>
      <c r="Q231" s="17948"/>
      <c r="R231" s="17947"/>
      <c r="S231" s="17949"/>
      <c r="T231" s="17950" t="s">
        <v>280</v>
      </c>
      <c r="U231" s="17951"/>
      <c r="V231" s="17951"/>
      <c r="W231" s="17951"/>
      <c r="X231" s="17951"/>
      <c r="Y231" s="17951"/>
      <c r="Z231" s="17951"/>
      <c r="AA231" s="17951"/>
      <c r="AB231" s="17951"/>
      <c r="AC231" s="17951"/>
      <c r="AD231" s="17951"/>
      <c r="AE231" s="17951"/>
      <c r="AF231" s="17951"/>
      <c r="AG231" s="17951"/>
      <c r="AH231" s="17951"/>
      <c r="AI231" s="17951"/>
      <c r="AJ231" s="17951"/>
      <c r="AK231" s="17951"/>
      <c r="AL231" s="17951"/>
      <c r="AM231" s="17951"/>
      <c r="AN231" s="17951"/>
      <c r="AO231" s="17951"/>
      <c r="AP231" s="17951"/>
      <c r="AQ231" s="17951"/>
      <c r="AR231" s="17951"/>
      <c r="AS231" s="17951"/>
      <c r="AT231" s="17951"/>
      <c r="AU231" s="17951"/>
      <c r="AV231" s="17951"/>
      <c r="AW231" s="17951"/>
      <c r="AX231" s="17951"/>
      <c r="AY231" s="17951"/>
      <c r="AZ231" s="17951"/>
      <c r="BA231" s="17951"/>
      <c r="BB231" s="17951"/>
      <c r="BC231" s="17951"/>
      <c r="BD231" s="17951"/>
      <c r="BE231" s="17951"/>
      <c r="BF231" s="17951"/>
      <c r="BG231" s="17951"/>
      <c r="BH231" s="17951"/>
      <c r="BI231" s="17951"/>
      <c r="BJ231" s="17951"/>
      <c r="BK231" s="17951"/>
      <c r="BL231" s="17951"/>
      <c r="BM231" s="17951"/>
      <c r="BN231" s="16819"/>
      <c r="BO231" s="16820"/>
      <c r="BP231" s="16820" t="str">
        <f>IF(T231="","",T231)</f>
        <v>Добавить централизованную систему для дифференциации</v>
      </c>
      <c r="BQ231" s="16820"/>
      <c r="BR231" s="16820"/>
      <c r="BS231" s="16819">
        <v>0</v>
      </c>
    </row>
    <row s="21688" customFormat="1" customHeight="1" ht="0">
      <c r="A232" s="1684" t="s">
        <v>265</v>
      </c>
      <c r="B232" s="1684"/>
      <c r="C232" s="1684"/>
      <c r="D232" s="1684"/>
      <c r="E232" s="2599"/>
      <c r="F232" s="1684"/>
      <c r="G232" s="1684"/>
      <c r="H232" s="1684"/>
      <c r="I232" s="1684"/>
      <c r="J232" s="1684"/>
      <c r="K232" s="1684"/>
      <c r="L232" s="1687"/>
      <c r="M232" s="1662"/>
      <c r="N232" s="1662"/>
      <c r="O232" s="859"/>
      <c r="P232" s="721"/>
      <c r="Q232" s="1685"/>
      <c r="R232" s="721"/>
      <c r="S232" s="1663"/>
      <c r="T232" s="1666" t="s">
        <v>339</v>
      </c>
      <c r="U232" s="1665"/>
      <c r="V232" s="1665"/>
      <c r="W232" s="1665"/>
      <c r="X232" s="1665"/>
      <c r="Y232" s="1665"/>
      <c r="Z232" s="1665"/>
      <c r="AA232" s="1665"/>
      <c r="AB232" s="1665"/>
      <c r="AC232" s="1665"/>
      <c r="AD232" s="1665"/>
      <c r="AE232" s="1665"/>
      <c r="AF232" s="1665"/>
      <c r="AG232" s="1665"/>
      <c r="AH232" s="1665"/>
      <c r="AI232" s="1665"/>
      <c r="AJ232" s="4185"/>
      <c r="AK232" s="4185"/>
      <c r="AL232" s="4185"/>
      <c r="AM232" s="4185"/>
      <c r="AN232" s="4185"/>
      <c r="AO232" s="4185"/>
      <c r="AP232" s="4185"/>
      <c r="AQ232" s="7130"/>
      <c r="AR232" s="7130"/>
      <c r="AS232" s="7130"/>
      <c r="AT232" s="7130"/>
      <c r="AU232" s="7130"/>
      <c r="AV232" s="7130"/>
      <c r="AW232" s="7130"/>
      <c r="AX232" s="7130"/>
      <c r="AY232" s="7130"/>
      <c r="AZ232" s="7130"/>
      <c r="BA232" s="7130"/>
      <c r="BB232" s="7130"/>
      <c r="BC232" s="7130"/>
      <c r="BD232" s="7130"/>
      <c r="BE232" s="7130"/>
      <c r="BF232" s="7130"/>
      <c r="BG232" s="7130"/>
      <c r="BH232" s="7130"/>
      <c r="BI232" s="7130"/>
      <c r="BJ232" s="7130"/>
      <c r="BK232" s="7130"/>
      <c r="BL232" s="1665"/>
      <c r="BM232" s="1665"/>
      <c r="BO232" s="841"/>
      <c r="BP232" s="841" t="str">
        <f>IF(T232="","",T232)</f>
        <v>Добавить территорию для дифференциации</v>
      </c>
      <c r="BQ232" s="841"/>
      <c r="BR232" s="841"/>
      <c r="BS232" s="852">
        <v>0</v>
      </c>
    </row>
    <row s="21688" customFormat="1" customHeight="1" ht="0">
      <c r="A233" s="1655"/>
      <c r="B233" s="1655"/>
      <c r="C233" s="1655"/>
      <c r="D233" s="1655"/>
      <c r="E233" s="1684"/>
      <c r="F233" s="1655"/>
      <c r="G233" s="1655"/>
      <c r="H233" s="1655"/>
      <c r="I233" s="1655"/>
      <c r="J233" s="1655"/>
      <c r="K233" s="1655"/>
      <c r="L233" s="1767"/>
      <c r="M233" s="1662"/>
      <c r="N233" s="1662"/>
      <c r="P233" s="1657"/>
      <c r="Q233" s="1658"/>
      <c r="R233" s="1657"/>
      <c r="S233" s="1663"/>
      <c r="T233" s="1666" t="s">
        <v>340</v>
      </c>
      <c r="U233" s="1665"/>
      <c r="V233" s="1665"/>
      <c r="W233" s="1665"/>
      <c r="X233" s="1665"/>
      <c r="Y233" s="1665"/>
      <c r="Z233" s="1665"/>
      <c r="AA233" s="1665"/>
      <c r="AB233" s="1665"/>
      <c r="AC233" s="1665"/>
      <c r="AD233" s="1665"/>
      <c r="AE233" s="1665"/>
      <c r="AF233" s="1665"/>
      <c r="AG233" s="1665"/>
      <c r="AH233" s="1665"/>
      <c r="AI233" s="1665"/>
      <c r="AJ233" s="4185"/>
      <c r="AK233" s="4185"/>
      <c r="AL233" s="4185"/>
      <c r="AM233" s="4185"/>
      <c r="AN233" s="4185"/>
      <c r="AO233" s="4185"/>
      <c r="AP233" s="4185"/>
      <c r="AQ233" s="7130"/>
      <c r="AR233" s="7130"/>
      <c r="AS233" s="7130"/>
      <c r="AT233" s="7130"/>
      <c r="AU233" s="7130"/>
      <c r="AV233" s="7130"/>
      <c r="AW233" s="7130"/>
      <c r="AX233" s="7130"/>
      <c r="AY233" s="7130"/>
      <c r="AZ233" s="7130"/>
      <c r="BA233" s="7130"/>
      <c r="BB233" s="7130"/>
      <c r="BC233" s="7130"/>
      <c r="BD233" s="7130"/>
      <c r="BE233" s="7130"/>
      <c r="BF233" s="7130"/>
      <c r="BG233" s="7130"/>
      <c r="BH233" s="7130"/>
      <c r="BI233" s="7130"/>
      <c r="BJ233" s="7130"/>
      <c r="BK233" s="7130"/>
      <c r="BL233" s="1665"/>
      <c r="BM233" s="1665"/>
      <c r="BO233" s="1130"/>
      <c r="BP233" s="1130" t="str">
        <f>IF(T233="","",T233)</f>
        <v>Добавить наименование тарифа</v>
      </c>
      <c r="BQ233" s="1130"/>
      <c r="BR233" s="1130"/>
      <c r="BS233" s="859">
        <v>0</v>
      </c>
    </row>
    <row customHeight="1" ht="11.549999999999999">
      <c r="M234" s="1501"/>
      <c r="N234" s="1501"/>
      <c r="O234" s="878"/>
      <c r="P234" s="1496"/>
      <c r="Q234" s="1496"/>
      <c r="R234" s="1496"/>
      <c r="S234" s="1496"/>
      <c r="AJ234" s="4130"/>
      <c r="AK234" s="4130"/>
      <c r="AL234" s="4130"/>
      <c r="AM234" s="4130"/>
      <c r="AN234" s="4130"/>
      <c r="AO234" s="4130"/>
      <c r="AP234" s="4130"/>
      <c r="AQ234" s="6995"/>
      <c r="AR234" s="6995"/>
      <c r="AS234" s="6995"/>
      <c r="AT234" s="6995"/>
      <c r="AU234" s="6995"/>
      <c r="AV234" s="6995"/>
      <c r="AW234" s="6995"/>
      <c r="AX234" s="6995"/>
      <c r="AY234" s="6995"/>
      <c r="AZ234" s="6995"/>
      <c r="BA234" s="6995"/>
      <c r="BB234" s="6995"/>
      <c r="BC234" s="6995"/>
      <c r="BD234" s="6995"/>
      <c r="BE234" s="6995"/>
      <c r="BF234" s="6995"/>
      <c r="BG234" s="6995"/>
      <c r="BH234" s="6995"/>
      <c r="BI234" s="6995"/>
      <c r="BJ234" s="6995"/>
      <c r="BK234" s="6995"/>
      <c r="BN234" s="1496"/>
      <c r="BO234" s="1496"/>
      <c r="BP234" s="1496"/>
      <c r="BQ234" s="1496"/>
      <c r="BR234" s="1496"/>
      <c r="BS234" s="1496">
        <v>11</v>
      </c>
    </row>
    <row customHeight="1" ht="14.699999999999998">
      <c r="O235" s="878"/>
      <c r="S235" s="1594"/>
      <c r="T235" s="2626"/>
      <c r="U235" s="2626"/>
      <c r="V235" s="2626"/>
      <c r="W235" s="2626"/>
      <c r="X235" s="2626"/>
      <c r="Y235" s="2626"/>
      <c r="Z235" s="2626"/>
      <c r="AA235" s="2626"/>
      <c r="AB235" s="2626"/>
      <c r="AC235" s="2626"/>
      <c r="AD235" s="2626"/>
      <c r="AE235" s="2626"/>
      <c r="AF235" s="2626"/>
      <c r="AG235" s="2626"/>
      <c r="AH235" s="2626"/>
      <c r="AI235" s="2626"/>
      <c r="AJ235" s="4362"/>
      <c r="AK235" s="4362"/>
      <c r="AL235" s="4362"/>
      <c r="AM235" s="4362"/>
      <c r="AN235" s="4362"/>
      <c r="AO235" s="4362"/>
      <c r="AP235" s="4362"/>
      <c r="AQ235" s="7477"/>
      <c r="AR235" s="7477"/>
      <c r="AS235" s="7477"/>
      <c r="AT235" s="7477"/>
      <c r="AU235" s="7477"/>
      <c r="AV235" s="7477"/>
      <c r="AW235" s="7477"/>
      <c r="AX235" s="7477"/>
      <c r="AY235" s="7477"/>
      <c r="AZ235" s="7477"/>
      <c r="BA235" s="7477"/>
      <c r="BB235" s="7477"/>
      <c r="BC235" s="7477"/>
      <c r="BD235" s="7477"/>
      <c r="BE235" s="7477"/>
      <c r="BF235" s="7477"/>
      <c r="BG235" s="7477"/>
      <c r="BH235" s="7477"/>
      <c r="BI235" s="7477"/>
      <c r="BJ235" s="7477"/>
      <c r="BK235" s="7477"/>
      <c r="BL235" s="2626"/>
      <c r="BM235" s="2626"/>
      <c r="BS235" s="1496">
        <v>14</v>
      </c>
    </row>
    <row customHeight="1" ht="14.699999999999998">
      <c r="O236" s="878"/>
      <c r="AJ236" s="4130"/>
      <c r="AK236" s="4130"/>
      <c r="AL236" s="4130"/>
      <c r="AM236" s="4130"/>
      <c r="AN236" s="4130"/>
      <c r="AO236" s="4130"/>
      <c r="AP236" s="4130"/>
      <c r="AQ236" s="6995"/>
      <c r="AR236" s="6995"/>
      <c r="AS236" s="6995"/>
      <c r="AT236" s="6995"/>
      <c r="AU236" s="6995"/>
      <c r="AV236" s="6995"/>
      <c r="AW236" s="6995"/>
      <c r="AX236" s="6995"/>
      <c r="AY236" s="6995"/>
      <c r="AZ236" s="6995"/>
      <c r="BA236" s="6995"/>
      <c r="BB236" s="6995"/>
      <c r="BC236" s="6995"/>
      <c r="BD236" s="6995"/>
      <c r="BE236" s="6995"/>
      <c r="BF236" s="6995"/>
      <c r="BG236" s="6995"/>
      <c r="BH236" s="6995"/>
      <c r="BI236" s="6995"/>
      <c r="BJ236" s="6995"/>
      <c r="BK236" s="6995"/>
      <c r="BS236" s="1496">
        <v>14</v>
      </c>
    </row>
    <row customHeight="1" ht="14.699999999999998">
      <c r="O237" s="878"/>
      <c r="S237" s="1594"/>
      <c r="T237" s="2626"/>
      <c r="U237" s="2626"/>
      <c r="V237" s="2626"/>
      <c r="W237" s="2626"/>
      <c r="X237" s="2626"/>
      <c r="Y237" s="2626"/>
      <c r="Z237" s="2626"/>
      <c r="AA237" s="2626"/>
      <c r="AB237" s="2626"/>
      <c r="AC237" s="2626"/>
      <c r="AD237" s="2626"/>
      <c r="AE237" s="2626"/>
      <c r="AF237" s="2626"/>
      <c r="AG237" s="2626"/>
      <c r="AH237" s="2626"/>
      <c r="AI237" s="2626"/>
      <c r="AJ237" s="4362"/>
      <c r="AK237" s="4362"/>
      <c r="AL237" s="4362"/>
      <c r="AM237" s="4362"/>
      <c r="AN237" s="4362"/>
      <c r="AO237" s="4362"/>
      <c r="AP237" s="4362"/>
      <c r="AQ237" s="7477"/>
      <c r="AR237" s="7477"/>
      <c r="AS237" s="7477"/>
      <c r="AT237" s="7477"/>
      <c r="AU237" s="7477"/>
      <c r="AV237" s="7477"/>
      <c r="AW237" s="7477"/>
      <c r="AX237" s="7477"/>
      <c r="AY237" s="7477"/>
      <c r="AZ237" s="7477"/>
      <c r="BA237" s="7477"/>
      <c r="BB237" s="7477"/>
      <c r="BC237" s="7477"/>
      <c r="BD237" s="7477"/>
      <c r="BE237" s="7477"/>
      <c r="BF237" s="7477"/>
      <c r="BG237" s="7477"/>
      <c r="BH237" s="7477"/>
      <c r="BI237" s="7477"/>
      <c r="BJ237" s="7477"/>
      <c r="BK237" s="7477"/>
      <c r="BL237" s="2626"/>
      <c r="BM237" s="2626"/>
      <c r="BS237" s="1496">
        <v>14</v>
      </c>
    </row>
    <row customHeight="1" ht="22.5" hidden="1">
      <c r="A238" s="1501" t="s">
        <v>82</v>
      </c>
      <c r="B238" s="1501">
        <v>0</v>
      </c>
      <c r="C238" s="1501">
        <v>0</v>
      </c>
      <c r="D238" s="1501">
        <v>0</v>
      </c>
      <c r="E238" s="1501">
        <v>0</v>
      </c>
      <c r="F238" s="1501">
        <v>0</v>
      </c>
      <c r="G238" s="1501">
        <v>0</v>
      </c>
      <c r="H238" s="1501">
        <v>0</v>
      </c>
      <c r="I238" s="1501">
        <v>0</v>
      </c>
      <c r="J238" s="1501">
        <v>0</v>
      </c>
      <c r="K238" s="1501">
        <v>0</v>
      </c>
      <c r="L238" s="1762">
        <v>0</v>
      </c>
      <c r="M238" s="1703">
        <v>0</v>
      </c>
      <c r="N238" s="1703">
        <v>0</v>
      </c>
      <c r="O238" s="1703">
        <v>0</v>
      </c>
      <c r="P238" s="1692">
        <v>3</v>
      </c>
      <c r="Q238" s="685">
        <v>3</v>
      </c>
      <c r="R238" s="685">
        <v>3</v>
      </c>
      <c r="S238" s="922">
        <v>12</v>
      </c>
      <c r="T238" s="1496">
        <v>35</v>
      </c>
      <c r="U238" s="1496">
        <v>0</v>
      </c>
      <c r="V238" s="1496">
        <v>0</v>
      </c>
      <c r="W238" s="1496">
        <v>0</v>
      </c>
      <c r="X238" s="1496">
        <v>0</v>
      </c>
      <c r="Y238" s="1496">
        <v>0</v>
      </c>
      <c r="Z238" s="1496">
        <v>0</v>
      </c>
      <c r="AA238" s="1496">
        <v>0</v>
      </c>
      <c r="AB238" s="1496">
        <v>0</v>
      </c>
      <c r="AC238" s="1496">
        <v>24</v>
      </c>
      <c r="AD238" s="1496">
        <v>24</v>
      </c>
      <c r="AE238" s="1496">
        <v>24</v>
      </c>
      <c r="AF238" s="1496">
        <v>11</v>
      </c>
      <c r="AG238" s="1496">
        <v>3</v>
      </c>
      <c r="AH238" s="1496">
        <v>11</v>
      </c>
      <c r="AI238" s="1496">
        <v>0</v>
      </c>
      <c r="AJ238" s="4130">
        <v>0</v>
      </c>
      <c r="AK238" s="4130">
        <v>0</v>
      </c>
      <c r="AL238" s="4130">
        <v>0</v>
      </c>
      <c r="AM238" s="4130">
        <v>0</v>
      </c>
      <c r="AN238" s="4130">
        <v>0</v>
      </c>
      <c r="AO238" s="4130">
        <v>0</v>
      </c>
      <c r="AP238" s="4130">
        <v>0</v>
      </c>
      <c r="AQ238" s="6995">
        <v>0</v>
      </c>
      <c r="AR238" s="6995">
        <v>0</v>
      </c>
      <c r="AS238" s="6995">
        <v>0</v>
      </c>
      <c r="AT238" s="6995">
        <v>0</v>
      </c>
      <c r="AU238" s="6995">
        <v>0</v>
      </c>
      <c r="AV238" s="6995">
        <v>0</v>
      </c>
      <c r="AW238" s="6995">
        <v>0</v>
      </c>
      <c r="AX238" s="6995">
        <v>0</v>
      </c>
      <c r="AY238" s="6995">
        <v>0</v>
      </c>
      <c r="AZ238" s="6995">
        <v>0</v>
      </c>
      <c r="BA238" s="6995">
        <v>0</v>
      </c>
      <c r="BB238" s="6995">
        <v>0</v>
      </c>
      <c r="BC238" s="6995">
        <v>0</v>
      </c>
      <c r="BD238" s="6995">
        <v>0</v>
      </c>
      <c r="BE238" s="6995">
        <v>0</v>
      </c>
      <c r="BF238" s="6995">
        <v>0</v>
      </c>
      <c r="BG238" s="6995">
        <v>0</v>
      </c>
      <c r="BH238" s="6995">
        <v>0</v>
      </c>
      <c r="BI238" s="6995">
        <v>0</v>
      </c>
      <c r="BJ238" s="6995">
        <v>0</v>
      </c>
      <c r="BK238" s="6995">
        <v>0</v>
      </c>
      <c r="BL238" s="1496">
        <v>4</v>
      </c>
      <c r="BM238" s="1496">
        <v>115</v>
      </c>
      <c r="BN238" s="852">
        <v>10</v>
      </c>
      <c r="BO238" s="852">
        <v>10</v>
      </c>
      <c r="BP238" s="852">
        <v>10</v>
      </c>
      <c r="BQ238" s="852">
        <v>10</v>
      </c>
      <c r="BR238" s="852">
        <v>10</v>
      </c>
      <c r="BS238" s="1496">
        <v>23</v>
      </c>
    </row>
  </sheetData>
  <sheetProtection formatColumns="0" formatRows="0" autoFilter="0" sort="0" insertRows="0" insertColumns="1" deleteRows="0" deleteColumns="0"/>
  <mergeCells count="97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232"/>
    <mergeCell ref="V41:AB41"/>
    <mergeCell ref="AC41:BL41"/>
    <mergeCell ref="F42:F83"/>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235:BM235"/>
    <mergeCell ref="T237:BM23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F84:F101"/>
    <mergeCell ref="V84:AB84"/>
    <mergeCell ref="AC84:BL84"/>
    <mergeCell ref="G85:G92"/>
    <mergeCell ref="V85:AB85"/>
    <mergeCell ref="AC85:BL85"/>
    <mergeCell ref="H86:H92"/>
    <mergeCell ref="AI88:AI89"/>
    <mergeCell ref="K88:K89"/>
    <mergeCell ref="I86:I91"/>
    <mergeCell ref="P86:P91"/>
    <mergeCell ref="V86:AB86"/>
    <mergeCell ref="AC86:BL86"/>
    <mergeCell ref="J87:J90"/>
    <mergeCell ref="Q87:Q90"/>
    <mergeCell ref="V87:AB87"/>
    <mergeCell ref="AC87:BL87"/>
    <mergeCell ref="BM88:BM89"/>
    <mergeCell ref="AG88:AG89"/>
    <mergeCell ref="AH88:AH89"/>
    <mergeCell ref="AF88:AF89"/>
    <mergeCell ref="AM88:AM89"/>
    <mergeCell ref="AN88:AN89"/>
    <mergeCell ref="AO88:AO89"/>
    <mergeCell ref="AP88:AP8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88:AT89"/>
    <mergeCell ref="AU88:AU89"/>
    <mergeCell ref="AV88:AV89"/>
    <mergeCell ref="AW88:AW8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88:BA89"/>
    <mergeCell ref="BB88:BB89"/>
    <mergeCell ref="BC88:BC89"/>
    <mergeCell ref="BD88:BD8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G51:G58"/>
    <mergeCell ref="V51:AB51"/>
    <mergeCell ref="AC51:BL51"/>
    <mergeCell ref="H52:H58"/>
    <mergeCell ref="AI54:AI55"/>
    <mergeCell ref="K54:K55"/>
    <mergeCell ref="I52:I57"/>
    <mergeCell ref="P52:P57"/>
    <mergeCell ref="V52:AB52"/>
    <mergeCell ref="AC52:BL52"/>
    <mergeCell ref="J53:J56"/>
    <mergeCell ref="Q53:Q56"/>
    <mergeCell ref="V53:AB53"/>
    <mergeCell ref="AC53:BL53"/>
    <mergeCell ref="BM54:BM55"/>
    <mergeCell ref="AG54:AG55"/>
    <mergeCell ref="AH54:AH55"/>
    <mergeCell ref="AF54:AF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G59:G66"/>
    <mergeCell ref="V59:AB59"/>
    <mergeCell ref="AC59:BL59"/>
    <mergeCell ref="H60:H66"/>
    <mergeCell ref="AI62:AI63"/>
    <mergeCell ref="K62:K63"/>
    <mergeCell ref="I60:I65"/>
    <mergeCell ref="P60:P65"/>
    <mergeCell ref="V60:AB60"/>
    <mergeCell ref="AC60:BL60"/>
    <mergeCell ref="J61:J64"/>
    <mergeCell ref="Q61:Q64"/>
    <mergeCell ref="V61:AB61"/>
    <mergeCell ref="AC61:BL61"/>
    <mergeCell ref="BM62:BM63"/>
    <mergeCell ref="AG62:AG63"/>
    <mergeCell ref="AH62:AH63"/>
    <mergeCell ref="AF62:AF63"/>
    <mergeCell ref="AM62:AM63"/>
    <mergeCell ref="AN62:AN63"/>
    <mergeCell ref="AO62:AO63"/>
    <mergeCell ref="AP62:AP63"/>
    <mergeCell ref="AT62:AT63"/>
    <mergeCell ref="AU62:AU63"/>
    <mergeCell ref="AV62:AV63"/>
    <mergeCell ref="AW62:AW63"/>
    <mergeCell ref="BA62:BA63"/>
    <mergeCell ref="BB62:BB63"/>
    <mergeCell ref="BC62:BC63"/>
    <mergeCell ref="BD62:BD63"/>
    <mergeCell ref="G67:G74"/>
    <mergeCell ref="V67:AB67"/>
    <mergeCell ref="AC67:BL67"/>
    <mergeCell ref="H68:H74"/>
    <mergeCell ref="AI70:AI71"/>
    <mergeCell ref="K70:K71"/>
    <mergeCell ref="I68:I73"/>
    <mergeCell ref="P68:P73"/>
    <mergeCell ref="V68:AB68"/>
    <mergeCell ref="AC68:BL68"/>
    <mergeCell ref="J69:J72"/>
    <mergeCell ref="Q69:Q72"/>
    <mergeCell ref="V69:AB69"/>
    <mergeCell ref="AC69:BL69"/>
    <mergeCell ref="BM70:BM71"/>
    <mergeCell ref="AG70:AG71"/>
    <mergeCell ref="AH70:AH71"/>
    <mergeCell ref="AF70:AF71"/>
    <mergeCell ref="AM70:AM71"/>
    <mergeCell ref="AN70:AN71"/>
    <mergeCell ref="AO70:AO71"/>
    <mergeCell ref="AP70:AP71"/>
    <mergeCell ref="AT70:AT71"/>
    <mergeCell ref="AU70:AU71"/>
    <mergeCell ref="AV70:AV71"/>
    <mergeCell ref="AW70:AW71"/>
    <mergeCell ref="BA70:BA71"/>
    <mergeCell ref="BB70:BB71"/>
    <mergeCell ref="BC70:BC71"/>
    <mergeCell ref="BD70:BD71"/>
    <mergeCell ref="G75:G82"/>
    <mergeCell ref="V75:AB75"/>
    <mergeCell ref="AC75:BL75"/>
    <mergeCell ref="H76:H82"/>
    <mergeCell ref="AI78:AI79"/>
    <mergeCell ref="K78:K79"/>
    <mergeCell ref="I76:I81"/>
    <mergeCell ref="P76:P81"/>
    <mergeCell ref="V76:AB76"/>
    <mergeCell ref="AC76:BL76"/>
    <mergeCell ref="J77:J80"/>
    <mergeCell ref="Q77:Q80"/>
    <mergeCell ref="V77:AB77"/>
    <mergeCell ref="AC77:BL77"/>
    <mergeCell ref="BM78:BM79"/>
    <mergeCell ref="AG78:AG79"/>
    <mergeCell ref="AH78:AH79"/>
    <mergeCell ref="AF78:AF79"/>
    <mergeCell ref="AM78:AM79"/>
    <mergeCell ref="AN78:AN79"/>
    <mergeCell ref="AO78:AO79"/>
    <mergeCell ref="AP78:AP79"/>
    <mergeCell ref="AT78:AT79"/>
    <mergeCell ref="AU78:AU79"/>
    <mergeCell ref="AV78:AV79"/>
    <mergeCell ref="AW78:AW79"/>
    <mergeCell ref="BA78:BA79"/>
    <mergeCell ref="BB78:BB79"/>
    <mergeCell ref="BC78:BC79"/>
    <mergeCell ref="BD78:BD79"/>
    <mergeCell ref="G93:G100"/>
    <mergeCell ref="V93:AB93"/>
    <mergeCell ref="AC93:BL93"/>
    <mergeCell ref="H94:H100"/>
    <mergeCell ref="AI96:AI97"/>
    <mergeCell ref="K96:K97"/>
    <mergeCell ref="I94:I99"/>
    <mergeCell ref="P94:P99"/>
    <mergeCell ref="V94:AB94"/>
    <mergeCell ref="AC94:BL94"/>
    <mergeCell ref="J95:J98"/>
    <mergeCell ref="Q95:Q98"/>
    <mergeCell ref="V95:AB95"/>
    <mergeCell ref="AC95:BL95"/>
    <mergeCell ref="BM96:BM97"/>
    <mergeCell ref="AG96:AG97"/>
    <mergeCell ref="AH96:AH97"/>
    <mergeCell ref="AF96:AF97"/>
    <mergeCell ref="AM96:AM97"/>
    <mergeCell ref="AN96:AN97"/>
    <mergeCell ref="AO96:AO97"/>
    <mergeCell ref="AP96:AP97"/>
    <mergeCell ref="AT96:AT97"/>
    <mergeCell ref="AU96:AU97"/>
    <mergeCell ref="AV96:AV97"/>
    <mergeCell ref="AW96:AW97"/>
    <mergeCell ref="BA96:BA97"/>
    <mergeCell ref="BB96:BB97"/>
    <mergeCell ref="BC96:BC97"/>
    <mergeCell ref="BD96:BD97"/>
    <mergeCell ref="F102:F111"/>
    <mergeCell ref="V102:AB102"/>
    <mergeCell ref="AC102:BL102"/>
    <mergeCell ref="G103:G110"/>
    <mergeCell ref="V103:AB103"/>
    <mergeCell ref="AC103:BL103"/>
    <mergeCell ref="H104:H110"/>
    <mergeCell ref="AI106:AI107"/>
    <mergeCell ref="K106:K107"/>
    <mergeCell ref="I104:I109"/>
    <mergeCell ref="P104:P109"/>
    <mergeCell ref="V104:AB104"/>
    <mergeCell ref="AC104:BL104"/>
    <mergeCell ref="J105:J108"/>
    <mergeCell ref="Q105:Q108"/>
    <mergeCell ref="V105:AB105"/>
    <mergeCell ref="AC105:BL105"/>
    <mergeCell ref="BM106:BM107"/>
    <mergeCell ref="AG106:AG107"/>
    <mergeCell ref="AH106:AH107"/>
    <mergeCell ref="AF106:AF107"/>
    <mergeCell ref="AM106:AM107"/>
    <mergeCell ref="AN106:AN107"/>
    <mergeCell ref="AO106:AO107"/>
    <mergeCell ref="AP106:AP107"/>
    <mergeCell ref="AT106:AT107"/>
    <mergeCell ref="AU106:AU107"/>
    <mergeCell ref="AV106:AV107"/>
    <mergeCell ref="AW106:AW107"/>
    <mergeCell ref="BA106:BA107"/>
    <mergeCell ref="BB106:BB107"/>
    <mergeCell ref="BC106:BC107"/>
    <mergeCell ref="BD106:BD107"/>
    <mergeCell ref="F112:F121"/>
    <mergeCell ref="V112:AB112"/>
    <mergeCell ref="AC112:BL112"/>
    <mergeCell ref="G113:G120"/>
    <mergeCell ref="V113:AB113"/>
    <mergeCell ref="AC113:BL113"/>
    <mergeCell ref="H114:H120"/>
    <mergeCell ref="AI116:AI117"/>
    <mergeCell ref="K116:K117"/>
    <mergeCell ref="I114:I119"/>
    <mergeCell ref="P114:P119"/>
    <mergeCell ref="V114:AB114"/>
    <mergeCell ref="AC114:BL114"/>
    <mergeCell ref="J115:J118"/>
    <mergeCell ref="Q115:Q118"/>
    <mergeCell ref="V115:AB115"/>
    <mergeCell ref="AC115:BL115"/>
    <mergeCell ref="BM116:BM117"/>
    <mergeCell ref="AG116:AG117"/>
    <mergeCell ref="AH116:AH117"/>
    <mergeCell ref="AF116:AF117"/>
    <mergeCell ref="AM116:AM117"/>
    <mergeCell ref="AN116:AN117"/>
    <mergeCell ref="AO116:AO117"/>
    <mergeCell ref="AP116:AP117"/>
    <mergeCell ref="AT116:AT117"/>
    <mergeCell ref="AU116:AU117"/>
    <mergeCell ref="AV116:AV117"/>
    <mergeCell ref="AW116:AW117"/>
    <mergeCell ref="BA116:BA117"/>
    <mergeCell ref="BB116:BB117"/>
    <mergeCell ref="BC116:BC117"/>
    <mergeCell ref="BD116:BD117"/>
    <mergeCell ref="F122:F131"/>
    <mergeCell ref="V122:AB122"/>
    <mergeCell ref="AC122:BL122"/>
    <mergeCell ref="G123:G130"/>
    <mergeCell ref="V123:AB123"/>
    <mergeCell ref="AC123:BL123"/>
    <mergeCell ref="H124:H130"/>
    <mergeCell ref="AI126:AI127"/>
    <mergeCell ref="K126:K127"/>
    <mergeCell ref="I124:I129"/>
    <mergeCell ref="P124:P129"/>
    <mergeCell ref="V124:AB124"/>
    <mergeCell ref="AC124:BL124"/>
    <mergeCell ref="J125:J128"/>
    <mergeCell ref="Q125:Q128"/>
    <mergeCell ref="V125:AB125"/>
    <mergeCell ref="AC125:BL125"/>
    <mergeCell ref="BM126:BM127"/>
    <mergeCell ref="AG126:AG127"/>
    <mergeCell ref="AH126:AH127"/>
    <mergeCell ref="AF126:AF127"/>
    <mergeCell ref="AM126:AM127"/>
    <mergeCell ref="AN126:AN127"/>
    <mergeCell ref="AO126:AO127"/>
    <mergeCell ref="AP126:AP127"/>
    <mergeCell ref="AT126:AT127"/>
    <mergeCell ref="AU126:AU127"/>
    <mergeCell ref="AV126:AV127"/>
    <mergeCell ref="AW126:AW127"/>
    <mergeCell ref="BA126:BA127"/>
    <mergeCell ref="BB126:BB127"/>
    <mergeCell ref="BC126:BC127"/>
    <mergeCell ref="BD126:BD127"/>
    <mergeCell ref="F132:F141"/>
    <mergeCell ref="V132:AB132"/>
    <mergeCell ref="AC132:BL132"/>
    <mergeCell ref="G133:G140"/>
    <mergeCell ref="V133:AB133"/>
    <mergeCell ref="AC133:BL133"/>
    <mergeCell ref="H134:H140"/>
    <mergeCell ref="AI136:AI137"/>
    <mergeCell ref="K136:K137"/>
    <mergeCell ref="I134:I139"/>
    <mergeCell ref="P134:P139"/>
    <mergeCell ref="V134:AB134"/>
    <mergeCell ref="AC134:BL134"/>
    <mergeCell ref="J135:J138"/>
    <mergeCell ref="Q135:Q138"/>
    <mergeCell ref="V135:AB135"/>
    <mergeCell ref="AC135:BL135"/>
    <mergeCell ref="BM136:BM137"/>
    <mergeCell ref="AG136:AG137"/>
    <mergeCell ref="AH136:AH137"/>
    <mergeCell ref="AF136:AF137"/>
    <mergeCell ref="AM136:AM137"/>
    <mergeCell ref="AN136:AN137"/>
    <mergeCell ref="AO136:AO137"/>
    <mergeCell ref="AP136:AP137"/>
    <mergeCell ref="AT136:AT137"/>
    <mergeCell ref="AU136:AU137"/>
    <mergeCell ref="AV136:AV137"/>
    <mergeCell ref="AW136:AW137"/>
    <mergeCell ref="BA136:BA137"/>
    <mergeCell ref="BB136:BB137"/>
    <mergeCell ref="BC136:BC137"/>
    <mergeCell ref="BD136:BD137"/>
    <mergeCell ref="F142:F151"/>
    <mergeCell ref="V142:AB142"/>
    <mergeCell ref="AC142:BL142"/>
    <mergeCell ref="G143:G150"/>
    <mergeCell ref="V143:AB143"/>
    <mergeCell ref="AC143:BL143"/>
    <mergeCell ref="H144:H150"/>
    <mergeCell ref="AI146:AI147"/>
    <mergeCell ref="K146:K147"/>
    <mergeCell ref="I144:I149"/>
    <mergeCell ref="P144:P149"/>
    <mergeCell ref="V144:AB144"/>
    <mergeCell ref="AC144:BL144"/>
    <mergeCell ref="J145:J148"/>
    <mergeCell ref="Q145:Q148"/>
    <mergeCell ref="V145:AB145"/>
    <mergeCell ref="AC145:BL145"/>
    <mergeCell ref="BM146:BM147"/>
    <mergeCell ref="AG146:AG147"/>
    <mergeCell ref="AH146:AH147"/>
    <mergeCell ref="AF146:AF147"/>
    <mergeCell ref="AM146:AM147"/>
    <mergeCell ref="AN146:AN147"/>
    <mergeCell ref="AO146:AO147"/>
    <mergeCell ref="AP146:AP147"/>
    <mergeCell ref="AT146:AT147"/>
    <mergeCell ref="AU146:AU147"/>
    <mergeCell ref="AV146:AV147"/>
    <mergeCell ref="AW146:AW147"/>
    <mergeCell ref="BA146:BA147"/>
    <mergeCell ref="BB146:BB147"/>
    <mergeCell ref="BC146:BC147"/>
    <mergeCell ref="BD146:BD147"/>
    <mergeCell ref="F152:F169"/>
    <mergeCell ref="V152:AB152"/>
    <mergeCell ref="AC152:BL152"/>
    <mergeCell ref="G153:G160"/>
    <mergeCell ref="V153:AB153"/>
    <mergeCell ref="AC153:BL153"/>
    <mergeCell ref="H154:H160"/>
    <mergeCell ref="AI156:AI157"/>
    <mergeCell ref="K156:K157"/>
    <mergeCell ref="I154:I159"/>
    <mergeCell ref="P154:P159"/>
    <mergeCell ref="V154:AB154"/>
    <mergeCell ref="AC154:BL154"/>
    <mergeCell ref="J155:J158"/>
    <mergeCell ref="Q155:Q158"/>
    <mergeCell ref="V155:AB155"/>
    <mergeCell ref="AC155:BL155"/>
    <mergeCell ref="BM156:BM157"/>
    <mergeCell ref="AG156:AG157"/>
    <mergeCell ref="AH156:AH157"/>
    <mergeCell ref="AF156:AF157"/>
    <mergeCell ref="AM156:AM157"/>
    <mergeCell ref="AN156:AN157"/>
    <mergeCell ref="AO156:AO157"/>
    <mergeCell ref="AP156:AP157"/>
    <mergeCell ref="AT156:AT157"/>
    <mergeCell ref="AU156:AU157"/>
    <mergeCell ref="AV156:AV157"/>
    <mergeCell ref="AW156:AW157"/>
    <mergeCell ref="BA156:BA157"/>
    <mergeCell ref="BB156:BB157"/>
    <mergeCell ref="BC156:BC157"/>
    <mergeCell ref="BD156:BD157"/>
    <mergeCell ref="G161:G168"/>
    <mergeCell ref="V161:AB161"/>
    <mergeCell ref="AC161:BL161"/>
    <mergeCell ref="H162:H168"/>
    <mergeCell ref="AI164:AI165"/>
    <mergeCell ref="K164:K165"/>
    <mergeCell ref="I162:I167"/>
    <mergeCell ref="P162:P167"/>
    <mergeCell ref="V162:AB162"/>
    <mergeCell ref="AC162:BL162"/>
    <mergeCell ref="J163:J166"/>
    <mergeCell ref="Q163:Q166"/>
    <mergeCell ref="V163:AB163"/>
    <mergeCell ref="AC163:BL163"/>
    <mergeCell ref="BM164:BM165"/>
    <mergeCell ref="AG164:AG165"/>
    <mergeCell ref="AH164:AH165"/>
    <mergeCell ref="AF164:AF165"/>
    <mergeCell ref="AM164:AM165"/>
    <mergeCell ref="AN164:AN165"/>
    <mergeCell ref="AO164:AO165"/>
    <mergeCell ref="AP164:AP165"/>
    <mergeCell ref="AT164:AT165"/>
    <mergeCell ref="AU164:AU165"/>
    <mergeCell ref="AV164:AV165"/>
    <mergeCell ref="AW164:AW165"/>
    <mergeCell ref="BA164:BA165"/>
    <mergeCell ref="BB164:BB165"/>
    <mergeCell ref="BC164:BC165"/>
    <mergeCell ref="BD164:BD165"/>
    <mergeCell ref="F170:F187"/>
    <mergeCell ref="V170:AB170"/>
    <mergeCell ref="AC170:BL170"/>
    <mergeCell ref="G171:G178"/>
    <mergeCell ref="V171:AB171"/>
    <mergeCell ref="AC171:BL171"/>
    <mergeCell ref="H172:H178"/>
    <mergeCell ref="AI174:AI175"/>
    <mergeCell ref="K174:K175"/>
    <mergeCell ref="I172:I177"/>
    <mergeCell ref="P172:P177"/>
    <mergeCell ref="V172:AB172"/>
    <mergeCell ref="AC172:BL172"/>
    <mergeCell ref="J173:J176"/>
    <mergeCell ref="Q173:Q176"/>
    <mergeCell ref="V173:AB173"/>
    <mergeCell ref="AC173:BL173"/>
    <mergeCell ref="BM174:BM175"/>
    <mergeCell ref="AG174:AG175"/>
    <mergeCell ref="AH174:AH175"/>
    <mergeCell ref="AF174:AF175"/>
    <mergeCell ref="AM174:AM175"/>
    <mergeCell ref="AN174:AN175"/>
    <mergeCell ref="AO174:AO175"/>
    <mergeCell ref="AP174:AP175"/>
    <mergeCell ref="AT174:AT175"/>
    <mergeCell ref="AU174:AU175"/>
    <mergeCell ref="AV174:AV175"/>
    <mergeCell ref="AW174:AW175"/>
    <mergeCell ref="BA174:BA175"/>
    <mergeCell ref="BB174:BB175"/>
    <mergeCell ref="BC174:BC175"/>
    <mergeCell ref="BD174:BD175"/>
    <mergeCell ref="G179:G186"/>
    <mergeCell ref="V179:AB179"/>
    <mergeCell ref="AC179:BL179"/>
    <mergeCell ref="H180:H186"/>
    <mergeCell ref="AI182:AI183"/>
    <mergeCell ref="K182:K183"/>
    <mergeCell ref="I180:I185"/>
    <mergeCell ref="P180:P185"/>
    <mergeCell ref="V180:AB180"/>
    <mergeCell ref="AC180:BL180"/>
    <mergeCell ref="J181:J184"/>
    <mergeCell ref="Q181:Q184"/>
    <mergeCell ref="V181:AB181"/>
    <mergeCell ref="AC181:BL181"/>
    <mergeCell ref="BM182:BM183"/>
    <mergeCell ref="AG182:AG183"/>
    <mergeCell ref="AH182:AH183"/>
    <mergeCell ref="AF182:AF183"/>
    <mergeCell ref="AM182:AM183"/>
    <mergeCell ref="AN182:AN183"/>
    <mergeCell ref="AO182:AO183"/>
    <mergeCell ref="AP182:AP183"/>
    <mergeCell ref="AT182:AT183"/>
    <mergeCell ref="AU182:AU183"/>
    <mergeCell ref="AV182:AV183"/>
    <mergeCell ref="AW182:AW183"/>
    <mergeCell ref="BA182:BA183"/>
    <mergeCell ref="BB182:BB183"/>
    <mergeCell ref="BC182:BC183"/>
    <mergeCell ref="BD182:BD183"/>
    <mergeCell ref="F188:F221"/>
    <mergeCell ref="V188:AB188"/>
    <mergeCell ref="AC188:BL188"/>
    <mergeCell ref="G189:G196"/>
    <mergeCell ref="V189:AB189"/>
    <mergeCell ref="AC189:BL189"/>
    <mergeCell ref="H190:H196"/>
    <mergeCell ref="AI192:AI193"/>
    <mergeCell ref="K192:K193"/>
    <mergeCell ref="I190:I195"/>
    <mergeCell ref="P190:P195"/>
    <mergeCell ref="V190:AB190"/>
    <mergeCell ref="AC190:BL190"/>
    <mergeCell ref="J191:J194"/>
    <mergeCell ref="Q191:Q194"/>
    <mergeCell ref="V191:AB191"/>
    <mergeCell ref="AC191:BL191"/>
    <mergeCell ref="BM192:BM193"/>
    <mergeCell ref="AG192:AG193"/>
    <mergeCell ref="AH192:AH193"/>
    <mergeCell ref="AF192:AF193"/>
    <mergeCell ref="AM192:AM193"/>
    <mergeCell ref="AN192:AN193"/>
    <mergeCell ref="AO192:AO193"/>
    <mergeCell ref="AP192:AP193"/>
    <mergeCell ref="AT192:AT193"/>
    <mergeCell ref="AU192:AU193"/>
    <mergeCell ref="AV192:AV193"/>
    <mergeCell ref="AW192:AW193"/>
    <mergeCell ref="BA192:BA193"/>
    <mergeCell ref="BB192:BB193"/>
    <mergeCell ref="BC192:BC193"/>
    <mergeCell ref="BD192:BD193"/>
    <mergeCell ref="G197:G204"/>
    <mergeCell ref="V197:AB197"/>
    <mergeCell ref="AC197:BL197"/>
    <mergeCell ref="H198:H204"/>
    <mergeCell ref="AI200:AI201"/>
    <mergeCell ref="K200:K201"/>
    <mergeCell ref="I198:I203"/>
    <mergeCell ref="P198:P203"/>
    <mergeCell ref="V198:AB198"/>
    <mergeCell ref="AC198:BL198"/>
    <mergeCell ref="J199:J202"/>
    <mergeCell ref="Q199:Q202"/>
    <mergeCell ref="V199:AB199"/>
    <mergeCell ref="AC199:BL199"/>
    <mergeCell ref="BM200:BM201"/>
    <mergeCell ref="AG200:AG201"/>
    <mergeCell ref="AH200:AH201"/>
    <mergeCell ref="AF200:AF201"/>
    <mergeCell ref="AM200:AM201"/>
    <mergeCell ref="AN200:AN201"/>
    <mergeCell ref="AO200:AO201"/>
    <mergeCell ref="AP200:AP201"/>
    <mergeCell ref="AT200:AT201"/>
    <mergeCell ref="AU200:AU201"/>
    <mergeCell ref="AV200:AV201"/>
    <mergeCell ref="AW200:AW201"/>
    <mergeCell ref="BA200:BA201"/>
    <mergeCell ref="BB200:BB201"/>
    <mergeCell ref="BC200:BC201"/>
    <mergeCell ref="BD200:BD201"/>
    <mergeCell ref="G205:G212"/>
    <mergeCell ref="V205:AB205"/>
    <mergeCell ref="AC205:BL205"/>
    <mergeCell ref="H206:H212"/>
    <mergeCell ref="AI208:AI209"/>
    <mergeCell ref="K208:K209"/>
    <mergeCell ref="I206:I211"/>
    <mergeCell ref="P206:P211"/>
    <mergeCell ref="V206:AB206"/>
    <mergeCell ref="AC206:BL206"/>
    <mergeCell ref="J207:J210"/>
    <mergeCell ref="Q207:Q210"/>
    <mergeCell ref="V207:AB207"/>
    <mergeCell ref="AC207:BL207"/>
    <mergeCell ref="BM208:BM209"/>
    <mergeCell ref="AG208:AG209"/>
    <mergeCell ref="AH208:AH209"/>
    <mergeCell ref="AF208:AF209"/>
    <mergeCell ref="AM208:AM209"/>
    <mergeCell ref="AN208:AN209"/>
    <mergeCell ref="AO208:AO209"/>
    <mergeCell ref="AP208:AP209"/>
    <mergeCell ref="AT208:AT209"/>
    <mergeCell ref="AU208:AU209"/>
    <mergeCell ref="AV208:AV209"/>
    <mergeCell ref="AW208:AW209"/>
    <mergeCell ref="BA208:BA209"/>
    <mergeCell ref="BB208:BB209"/>
    <mergeCell ref="BC208:BC209"/>
    <mergeCell ref="BD208:BD209"/>
    <mergeCell ref="F222:F231"/>
    <mergeCell ref="V222:AB222"/>
    <mergeCell ref="AC222:BL222"/>
    <mergeCell ref="G223:G230"/>
    <mergeCell ref="V223:AB223"/>
    <mergeCell ref="AC223:BL223"/>
    <mergeCell ref="H224:H230"/>
    <mergeCell ref="AI226:AI227"/>
    <mergeCell ref="K226:K227"/>
    <mergeCell ref="I224:I229"/>
    <mergeCell ref="P224:P229"/>
    <mergeCell ref="V224:AB224"/>
    <mergeCell ref="AC224:BL224"/>
    <mergeCell ref="J225:J228"/>
    <mergeCell ref="Q225:Q228"/>
    <mergeCell ref="V225:AB225"/>
    <mergeCell ref="AC225:BL225"/>
    <mergeCell ref="BM226:BM227"/>
    <mergeCell ref="AG226:AG227"/>
    <mergeCell ref="AH226:AH227"/>
    <mergeCell ref="AF226:AF227"/>
    <mergeCell ref="AM226:AM227"/>
    <mergeCell ref="AN226:AN227"/>
    <mergeCell ref="AO226:AO227"/>
    <mergeCell ref="AP226:AP227"/>
    <mergeCell ref="AT226:AT227"/>
    <mergeCell ref="AU226:AU227"/>
    <mergeCell ref="AV226:AV227"/>
    <mergeCell ref="AW226:AW227"/>
    <mergeCell ref="BA226:BA227"/>
    <mergeCell ref="BB226:BB227"/>
    <mergeCell ref="BC226:BC227"/>
    <mergeCell ref="BD226:BD227"/>
    <mergeCell ref="G213:G220"/>
    <mergeCell ref="V213:AB213"/>
    <mergeCell ref="AC213:BL213"/>
    <mergeCell ref="H214:H220"/>
    <mergeCell ref="AI216:AI217"/>
    <mergeCell ref="K216:K217"/>
    <mergeCell ref="I214:I219"/>
    <mergeCell ref="P214:P219"/>
    <mergeCell ref="V214:AB214"/>
    <mergeCell ref="AC214:BL214"/>
    <mergeCell ref="J215:J218"/>
    <mergeCell ref="Q215:Q218"/>
    <mergeCell ref="V215:AB215"/>
    <mergeCell ref="AC215:BL215"/>
    <mergeCell ref="BM216:BM217"/>
    <mergeCell ref="AG216:AG217"/>
    <mergeCell ref="AH216:AH217"/>
    <mergeCell ref="AF216:AF217"/>
    <mergeCell ref="AM216:AM217"/>
    <mergeCell ref="AN216:AN217"/>
    <mergeCell ref="AO216:AO217"/>
    <mergeCell ref="AP216:AP217"/>
    <mergeCell ref="AT216:AT217"/>
    <mergeCell ref="AU216:AU217"/>
    <mergeCell ref="AV216:AV217"/>
    <mergeCell ref="AW216:AW217"/>
    <mergeCell ref="BA216:BA217"/>
    <mergeCell ref="BB216:BB217"/>
    <mergeCell ref="BC216:BC217"/>
    <mergeCell ref="BD216:BD217"/>
    <mergeCell ref="BH200:BH201"/>
    <mergeCell ref="BI200:BI201"/>
    <mergeCell ref="BJ200:BJ201"/>
    <mergeCell ref="BK200:BK201"/>
    <mergeCell ref="Y200:Y201"/>
    <mergeCell ref="Z200:Z201"/>
    <mergeCell ref="AA200:AA201"/>
    <mergeCell ref="AB200:AB201"/>
    <mergeCell ref="BH106:BH107"/>
    <mergeCell ref="BI106:BI107"/>
    <mergeCell ref="BJ106:BJ107"/>
    <mergeCell ref="BK106:BK107"/>
    <mergeCell ref="Y106:Y107"/>
    <mergeCell ref="Z106:Z107"/>
    <mergeCell ref="AA106:AA107"/>
    <mergeCell ref="AB106:AB107"/>
    <mergeCell ref="BH96:BH97"/>
    <mergeCell ref="BI96:BI97"/>
    <mergeCell ref="BJ96:BJ97"/>
    <mergeCell ref="BK96:BK97"/>
    <mergeCell ref="Y96:Y97"/>
    <mergeCell ref="Z96:Z97"/>
    <mergeCell ref="AA96:AA97"/>
    <mergeCell ref="AB96:AB97"/>
    <mergeCell ref="BH88:BH89"/>
    <mergeCell ref="BI88:BI89"/>
    <mergeCell ref="BJ88:BJ89"/>
    <mergeCell ref="BK88:BK89"/>
    <mergeCell ref="Y88:Y89"/>
    <mergeCell ref="Z88:Z89"/>
    <mergeCell ref="AA88:AA89"/>
    <mergeCell ref="AB88:AB89"/>
    <mergeCell ref="BH78:BH79"/>
    <mergeCell ref="BI78:BI79"/>
    <mergeCell ref="BJ78:BJ79"/>
    <mergeCell ref="BK78:BK79"/>
    <mergeCell ref="Y78:Y79"/>
    <mergeCell ref="Z78:Z79"/>
    <mergeCell ref="AA78:AA79"/>
    <mergeCell ref="AB78:AB79"/>
    <mergeCell ref="BH70:BH71"/>
    <mergeCell ref="BI70:BI71"/>
    <mergeCell ref="BJ70:BJ71"/>
    <mergeCell ref="BK70:BK71"/>
    <mergeCell ref="Y70:Y71"/>
    <mergeCell ref="Z70:Z71"/>
    <mergeCell ref="AA70:AA71"/>
    <mergeCell ref="AB70:AB71"/>
    <mergeCell ref="BH62:BH63"/>
    <mergeCell ref="BI62:BI63"/>
    <mergeCell ref="BJ62:BJ63"/>
    <mergeCell ref="BK62:BK63"/>
    <mergeCell ref="Y62:Y63"/>
    <mergeCell ref="Z62:Z63"/>
    <mergeCell ref="AA62:AA63"/>
    <mergeCell ref="AB62:AB63"/>
    <mergeCell ref="BH54:BH55"/>
    <mergeCell ref="BI54:BI55"/>
    <mergeCell ref="BJ54:BJ55"/>
    <mergeCell ref="BK54:BK55"/>
    <mergeCell ref="Y54:Y55"/>
    <mergeCell ref="Z54:Z55"/>
    <mergeCell ref="AA54:AA55"/>
    <mergeCell ref="AB54:AB55"/>
    <mergeCell ref="BH46:BH47"/>
    <mergeCell ref="BI46:BI47"/>
    <mergeCell ref="BJ46:BJ47"/>
    <mergeCell ref="BK46:BK47"/>
    <mergeCell ref="Y46:Y47"/>
    <mergeCell ref="Z46:Z47"/>
    <mergeCell ref="AA46:AA47"/>
    <mergeCell ref="AB46:AB47"/>
    <mergeCell ref="BH116:BH117"/>
    <mergeCell ref="BI116:BI117"/>
    <mergeCell ref="BJ116:BJ117"/>
    <mergeCell ref="BK116:BK117"/>
    <mergeCell ref="Y116:Y117"/>
    <mergeCell ref="Z116:Z117"/>
    <mergeCell ref="AA116:AA117"/>
    <mergeCell ref="AB116:AB117"/>
    <mergeCell ref="BH126:BH127"/>
    <mergeCell ref="BI126:BI127"/>
    <mergeCell ref="BJ126:BJ127"/>
    <mergeCell ref="BK126:BK127"/>
    <mergeCell ref="Y126:Y127"/>
    <mergeCell ref="Z126:Z127"/>
    <mergeCell ref="AA126:AA127"/>
    <mergeCell ref="AB126:AB127"/>
    <mergeCell ref="BH136:BH137"/>
    <mergeCell ref="BI136:BI137"/>
    <mergeCell ref="BJ136:BJ137"/>
    <mergeCell ref="BK136:BK137"/>
    <mergeCell ref="Y136:Y137"/>
    <mergeCell ref="Z136:Z137"/>
    <mergeCell ref="AA136:AA137"/>
    <mergeCell ref="AB136:AB137"/>
    <mergeCell ref="BH146:BH147"/>
    <mergeCell ref="BI146:BI147"/>
    <mergeCell ref="BJ146:BJ147"/>
    <mergeCell ref="BK146:BK147"/>
    <mergeCell ref="Y146:Y147"/>
    <mergeCell ref="Z146:Z147"/>
    <mergeCell ref="AA146:AA147"/>
    <mergeCell ref="AB146:AB147"/>
    <mergeCell ref="BH156:BH157"/>
    <mergeCell ref="BI156:BI157"/>
    <mergeCell ref="BJ156:BJ157"/>
    <mergeCell ref="BK156:BK157"/>
    <mergeCell ref="Y156:Y157"/>
    <mergeCell ref="Z156:Z157"/>
    <mergeCell ref="AA156:AA157"/>
    <mergeCell ref="AB156:AB157"/>
    <mergeCell ref="BH164:BH165"/>
    <mergeCell ref="BI164:BI165"/>
    <mergeCell ref="BJ164:BJ165"/>
    <mergeCell ref="BK164:BK165"/>
    <mergeCell ref="Y164:Y165"/>
    <mergeCell ref="Z164:Z165"/>
    <mergeCell ref="AA164:AA165"/>
    <mergeCell ref="AB164:AB165"/>
    <mergeCell ref="BH174:BH175"/>
    <mergeCell ref="BI174:BI175"/>
    <mergeCell ref="BJ174:BJ175"/>
    <mergeCell ref="BK174:BK175"/>
    <mergeCell ref="Y174:Y175"/>
    <mergeCell ref="Z174:Z175"/>
    <mergeCell ref="AA174:AA175"/>
    <mergeCell ref="AB174:AB175"/>
    <mergeCell ref="BH182:BH183"/>
    <mergeCell ref="BI182:BI183"/>
    <mergeCell ref="BJ182:BJ183"/>
    <mergeCell ref="BK182:BK183"/>
    <mergeCell ref="Y182:Y183"/>
    <mergeCell ref="Z182:Z183"/>
    <mergeCell ref="AA182:AA183"/>
    <mergeCell ref="AB182:AB183"/>
    <mergeCell ref="BH192:BH193"/>
    <mergeCell ref="BI192:BI193"/>
    <mergeCell ref="BJ192:BJ193"/>
    <mergeCell ref="BK192:BK193"/>
    <mergeCell ref="Y192:Y193"/>
    <mergeCell ref="Z192:Z193"/>
    <mergeCell ref="AA192:AA193"/>
    <mergeCell ref="AB192:AB193"/>
    <mergeCell ref="BH208:BH209"/>
    <mergeCell ref="BI208:BI209"/>
    <mergeCell ref="BJ208:BJ209"/>
    <mergeCell ref="BK208:BK209"/>
    <mergeCell ref="Y208:Y209"/>
    <mergeCell ref="Z208:Z209"/>
    <mergeCell ref="AA208:AA209"/>
    <mergeCell ref="AB208:AB209"/>
    <mergeCell ref="BH216:BH217"/>
    <mergeCell ref="BI216:BI217"/>
    <mergeCell ref="BJ216:BJ217"/>
    <mergeCell ref="BK216:BK217"/>
    <mergeCell ref="Y216:Y217"/>
    <mergeCell ref="Z216:Z217"/>
    <mergeCell ref="AA216:AA217"/>
    <mergeCell ref="AB216:AB217"/>
    <mergeCell ref="BH226:BH227"/>
    <mergeCell ref="BI226:BI227"/>
    <mergeCell ref="BJ226:BJ227"/>
    <mergeCell ref="BK226:BK227"/>
    <mergeCell ref="Y226:Y227"/>
    <mergeCell ref="Z226:Z227"/>
    <mergeCell ref="AA226:AA227"/>
    <mergeCell ref="AB226:AB227"/>
  </mergeCells>
  <dataValidations count="8">
    <dataValidation type="list" allowBlank="1" showInputMessage="1" errorTitle="Ошибка" error="Выберите значение из списка" prompt="Выберите значение из списка" sqref="V983261:BL983261 V65757:BL65757 V131293:BL131293 V196829:BL196829 V262365:BL262365 V327901:BL327901 V393437:BL393437 V458973:BL458973 V524509:BL524509 V590045:BL590045 V655581:BL655581 V721117:BL721117 V786653:BL786653 V852189:BL852189 V917725:BL917725">
      <formula1>kind_of_cons</formula1>
    </dataValidation>
    <dataValidation allowBlank="1" sqref="S131296:BM131302 S196832:BM196838 S262368:BM262374 S327904:BM327910 S393440:BM393446 S458976:BM458982 S524512:BM524518 S590048:BM590054 S655584:BM655590 S721120:BM721126 S786656:BM786662 S852192:BM852198 S917728:BM917734 S983264:BM983270 S65760:BM65766"/>
    <dataValidation allowBlank="1" showInputMessage="1" showErrorMessage="1" prompt="Для выбора выполните двойной щелчок левой клавиши мыши по соответствующей ячейке." sqref="Z65758 Z131294 Z196830 Z262366 Z327902 Z393438 Z458974 Z524510 Z590046 Z655582 Z721118 Z786654 Z852190 Z917726 Z983262 AB131294 AB458974 AB196830 AB262366 AB327902 AB393438 AB524510 AB590046 AB655582 AB721118 AB786654 AB852190 AB917726 AB983262 AB65758 AG65758 AG131294 AG196830 AG262366 AG327902 AG393438 AG458974 AG524510 AG590046 AG655582 AG721118 AG786654 AG852190 AG917726 AG983262 AI524510:BK524510 AI196830:BK196830 AI590046:BK590046 AI655582:BK655582 AI15 AI721118:BK721118 AI786654:BK786654 AI852190:BK852190 AI917726:BK917726 AI983262:BK983262 AI65758:BK65758 AI131294:BK131294 AI458974:BK458974 AI262366:BK262366 AI7 AN7 AP7 AU7 AW7 BB7 BD7 BI7 BK7 AG46 AI327902:BK327902 AG15 AG7 Z7 AB7 AI393438:BK393438 AI46 AN46 AP46 AU46 AW46 BB46 BD46 BI46 BK46 Z46 AB46 Z88 AB88 AG88 AI88 AN88 AP88 AU88 AW88 BB88 BD88 BI88 BK88 Z54 AB54 AG54 AI54 AN54 AP54 AU54 AW54 BB54 BD54 BI54 BK54 Z62 AB62 AG62 AI62 AN62 AP62 AU62 AW62 BB62 BD62 BI62 BK62 Z70 AB70 AG70 AI70 AN70 AP70 AU70 AW70 BB70 BD70 BI70 BK70 Z78 AB78 AG78 AI78 AN78 AP78 AU78 AW78 BB78 BD78 BI78 BK78 Z96 AB96 AG96 AI96 AN96 AP96 AU96 AW96 BB96 BD96 BI96 BK96 Z106 AB106 AG106 AI106 AN106 AP106 AU106 AW106 BB106 BD106 BI106 BK106 Z116 AB116 AG116 AI116 AN116 AP116 AU116 AW116 BB116 BD116 BI116 BK116 Z126 AB126 AG126 AI126 AN126 AP126 AU126 AW126 BB126 BD126 BI126 BK126 Z136 AB136 AG136 AI136 AN136 AP136 AU136 AW136 BB136 BD136 BI136 BK136 Z146 AB146 AG146 AI146 AN146 AP146 AU146 AW146 BB146 BD146 BI146 BK146 Z156 AB156 AG156 AI156 AN156 AP156 AU156 AW156 BB156 BD156 BI156 BK156 Z164 AB164 AG164 AI164 AN164 AP164 AU164 AW164 BB164 BD164 BI164 BK164 Z174 AB174 AG174 AI174 AN174 AP174 AU174 AW174 BB174 BD174 BI174 BK174 Z182 AB182 AG182 AI182 AN182 AP182 AU182 AW182 BB182 BD182 BI182 BK182 Z192 AB192 AG192 AI192 AN192 AP192 AU192 AW192 BB192 BD192 BI192 BK192 Z200 AB200 AG200 AI200 AN200 AP200 AU200 AW200 BB200 BD200 BI200 BK200 Z208 AB208 AG208 AI208 AN208 AP208 AU208 AW208 BB208 BD208 BI208 BK208 Z226 AB226 AG226 AI226 AN226 AP226 AU226 AW226 BB226 BD226 BI226 BK226 Z216 AB216 AG216 AI216 AN216 AP216 AU216 AW216 BB216 BD216 BI216 BK21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58 Y131294 Y196830 Y262366 Y327902 Y393438 Y458974 Y524510 Y590046 Y655582 Y721118 Y786654 Y852190 Y917726 Y983262 AA65758 AA131294 AA196830 AA262366 AA327902 AA393438 AA458974 AA524510 AA590046 AA655582 AA721118 AA786654 AA852190 AA917726 AA983262 AF15 AF65758 AF131294 AF196830 AF262366 AF327902 AF393438 AF458974 AF524510 AF590046 AF655582 AF721118 AF786654 AF852190 AF917726 AF983262 AH65758 AH131294 AH196830 AH262366 AH327902 AH393438 AH458974 AH524510 AH590046 AH655582 AH721118 AH786654 AH852190 AH917726 AH983262 AH46 AF46 AH15 AH7 AF7 Y7 AA7 Y46 AA46 AM7 AO7 AM46 AO46 Y88 AA88 AF88 AH88 AM88 AO88 AT7 AV7 AT46 AV46 AT88 AV88 BA7 BC7 BA46 BC46 BA88 BC88 BH7 BJ7 BH46 BJ46 BH88 BJ88 Y54 AA54 AF54 AH54 AM54 AO54 AT54 AV54 BA54 BC54 BH54 BJ54 Y62 AA62 AF62 AH62 AM62 AO62 AT62 AV62 BA62 BC62 BH62 BJ62 Y70 AA70 AF70 AH70 AM70 AO70 AT70 AV70 BA70 BC70 BH70 BJ70 Y78 AA78 AF78 AH78 AM78 AO78 AT78 AV78 BA78 BC78 BH78 BJ78 Y96 AA96 AF96 AH96 AM96 AO96 AT96 AV96 BA96 BC96 BH96 BJ96 Y106 AA106 AF106 AH106 AM106 AO106 AT106 AV106 BA106 BC106 BH106 BJ106 Y116 AA116 AF116 AH116 AM116 AO116 AT116 AV116 BA116 BC116 BH116 BJ116 Y126 AA126 AF126 AH126 AM126 AO126 AT126 AV126 BA126 BC126 BH126 BJ126 Y136 AA136 AF136 AH136 AM136 AO136 AT136 AV136 BA136 BC136 BH136 BJ136 Y146 AA146 AF146 AH146 AM146 AO146 AT146 AV146 BA146 BC146 BH146 BJ146 Y156 AA156 AF156 AH156 AM156 AO156 AT156 AV156 BA156 BC156 BH156 BJ156 Y164 AA164 AF164 AH164 AM164 AO164 AT164 AV164 BA164 BC164 BH164 BJ164 Y174 AA174 AF174 AH174 AM174 AO174 AT174 AV174 BA174 BC174 BH174 BJ174 Y182 AA182 AF182 AH182 AM182 AO182 AT182 AV182 BA182 BC182 BH182 BJ182 Y192 AA192 AF192 AH192 AM192 AO192 AT192 AV192 BA192 BC192 BH192 BJ192 Y200 AA200 AF200 AH200 AM200 AO200 AT200 AV200 BA200 BC200 BH200 BJ200 Y208 AA208 AF208 AH208 AM208 AO208 AT208 AV208 BA208 BC208 BH208 BJ208 Y226 AA226 AF226 AH226 AM226 AO226 AT226 AV226 BA226 BC226 BH226 BJ226 Y216 AA216 AF216 AH216 AM216 AO216 AT216 AV216 BA216 BC216 BH216 BJ216"/>
    <dataValidation type="list" allowBlank="1" showInputMessage="1" showErrorMessage="1" errorTitle="Ошибка" error="Выберите значение из списка" sqref="T65758 T131294 T196830 T262366 T327902 T393438 T458974 T524510 T590046 T655582 T721118 T786654 T852190 T917726 T983262">
      <formula1>kind_of_heat_transfer</formula1>
    </dataValidation>
    <dataValidation type="textLength" operator="lessThanOrEqual" allowBlank="1" showInputMessage="1" showErrorMessage="1" errorTitle="Ошибка" error="Допускается ввод не более 900 символов!" sqref="BM65752:BM65759 BM131288:BM131295 BM196824:BM196831 BM262360:BM262367 BM327896:BM327903 BM393432:BM393439 BM458968:BM458975 BM524504:BM524511 BM590040:BM590047 BM655576:BM655583 BM721112:BM721119 BM786648:BM786655 BM852184:BM852191 BM917720:BM917727 BM983256:BM983263 T46 T7 AC5:AI5 BL5 AC44:AI44 BL44 AC86 AD86 AE86 AF86 AG86 AH86 AI86 BL86 T88 AC52 AD52 AE52 AF52 AG52 AH52 AI52 BL52 T54 AC60 AD60 AE60 AF60 AG60 AH60 AI60 BL60 T62 AC68 AD68 AE68 AF68 AG68 AH68 AI68 BL68 T70 AC76 AD76 AE76 AF76 AG76 AH76 AI76 BL76 T78 AC94 AD94 AE94 AF94 AG94 AH94 AI94 BL94 T96 AC104 AD104 AE104 AF104 AG104 AH104 AI104 BL104 T106 AC114 AD114 AE114 AF114 AG114 AH114 AI114 BL114 T116 AC124 AD124 AE124 AF124 AG124 AH124 AI124 BL124 T126 AC134 AD134 AE134 AF134 AG134 AH134 AI134 BL134 T136 AC144 AD144 AE144 AF144 AG144 AH144 AI144 BL144 T146 AC154 AD154 AE154 AF154 AG154 AH154 AI154 BL154 T156 AC162 AD162 AE162 AF162 AG162 AH162 AI162 BL162 T164 AC172 AD172 AE172 AF172 AG172 AH172 AI172 BL172 T174 AC180 AD180 AE180 AF180 AG180 AH180 AI180 BL180 T182 AC190 AD190 AE190 AF190 AG190 AH190 AI190 BL190 T192 AC198 AD198 AE198 AF198 AG198 AH198 AI198 BL198 T200 AC206 AD206 AE206 AF206 AG206 AH206 AI206 BL206 T208 AC224 AD224 AE224 AF224 AG224 AH224 AI224 BL224 T226 AC214 AD214 AE214 AF214 AG214 AH214 AI214 BL214 T216">
      <formula1>900</formula1>
    </dataValidation>
    <dataValidation type="list" allowBlank="1" showInputMessage="1" showErrorMessage="1" errorTitle="Ошибка" error="Выберите значение из списка" sqref="V983260 V65756 V131292 V196828 V262364 V327900 V393436 V458972 V524508 V590044 V655580 V721116 V786652 V852188 V917724 AC983260 AC65756 AC131292 AC196828 AC262364 AC327900 AC393436 AC458972 AC524508 AC590044 AC655580 AC721116 AC786652 AC852188 AC917724">
      <formula1>kind_of_scheme_in</formula1>
    </dataValidation>
    <dataValidation allowBlank="1" promptTitle="checkPeriodRange" sqref="X65759 X131295 X196831 X262367 X327903 X393439 X458975 X524511 X590047 X655583 X721119 X786655 X852191 X917727 X983263 AE16 AE65759 AE131295 AE196831 AE262367 AE327903 AE393439 AE458975 AE524511 AE590047 AE655583 AE721119 AE786655 AE852191 AE917727 AE983263 AE47 AE8 X8 X47 AL8 AL47 X89 AE89 AL89 AS8 AS47 AS89 AZ8 AZ47 AZ89 BG8 BG47 BG89 X55 AE55 AL55 AS55 AZ55 BG55 X63 AE63 AL63 AS63 AZ63 BG63 X71 AE71 AL71 AS71 AZ71 BG71 X79 AE79 AL79 AS79 AZ79 BG79 X97 AE97 AL97 AS97 AZ97 BG97 X107 AE107 AL107 AS107 AZ107 BG107 X117 AE117 AL117 AS117 AZ117 BG117 X127 AE127 AL127 AS127 AZ127 BG127 X137 AE137 AL137 AS137 AZ137 BG137 X147 AE147 AL147 AS147 AZ147 BG147 X157 AE157 AL157 AS157 AZ157 BG157 X165 AE165 AL165 AS165 AZ165 BG165 X175 AE175 AL175 AS175 AZ175 BG175 X183 AE183 AL183 AS183 AZ183 BG183 X193 AE193 AL193 AS193 AZ193 BG193 X201 AE201 AL201 AS201 AZ201 BG201 X209 AE209 AL209 AS209 AZ209 BG209 X227 AE227 AL227 AS227 AZ227 BG227 X217 AE217 AL217 AS217 AZ217 BG2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97B7F-0D57-85AE-82DB-DFB1136F9898}" mc:Ignorable="x14ac xr xr2 xr3">
  <sheetPr>
    <tabColor theme="6" tint="0.4"/>
  </sheetPr>
  <dimension ref="A1:BL58"/>
  <sheetViews>
    <sheetView topLeftCell="A1" showGridLines="0" zoomScale="90" workbookViewId="0">
      <selection activeCell="AD48" sqref="AD48"/>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31" style="21605" width="24.00390625" customWidth="1"/>
    <col min="32" max="32" style="21605" width="11.00390625" customWidth="1"/>
    <col min="33" max="33" style="21605" width="3.7109375" customWidth="1"/>
    <col min="34" max="34" style="21605" width="11.00390625" customWidth="1"/>
    <col min="35" max="35" style="21605" width="8.57421875" customWidth="1"/>
    <col min="56" max="56" style="62" width="10.57421875" hidden="1"/>
    <col min="57" max="57" style="21605" width="4.00390625" customWidth="1"/>
    <col min="58" max="58" style="21605" width="115.00390625" customWidth="1"/>
    <col min="59" max="63" style="21688" width="10.00390625" customWidth="1"/>
    <col min="64" max="64" style="21605" width="10.57421875" hidden="1"/>
  </cols>
  <sheetData>
    <row customHeight="1" ht="22.5" hidden="1">
      <c r="X1" s="668"/>
      <c r="Y1" s="668"/>
      <c r="AE1" s="668"/>
      <c r="AF1" s="668"/>
      <c r="AJ1" s="16821"/>
      <c r="AK1" s="16821"/>
      <c r="AL1" s="16821"/>
      <c r="AM1" s="16821"/>
      <c r="AN1" s="16821"/>
      <c r="AO1" s="16821"/>
      <c r="AP1" s="16821"/>
      <c r="AQ1" s="16821"/>
      <c r="AR1" s="16821"/>
      <c r="AS1" s="16821"/>
      <c r="AT1" s="16821"/>
      <c r="AU1" s="16821"/>
      <c r="AV1" s="16821"/>
      <c r="AW1" s="16821"/>
      <c r="AX1" s="16821"/>
      <c r="AY1" s="16821"/>
      <c r="AZ1" s="16821"/>
      <c r="BA1" s="16821"/>
      <c r="BB1" s="16821"/>
      <c r="BC1" s="16821"/>
      <c r="BD1" s="16821"/>
      <c r="BL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16815"/>
      <c r="AK2" s="16816"/>
      <c r="AL2" s="16816"/>
      <c r="AM2" s="16816"/>
      <c r="AN2" s="16816"/>
      <c r="AO2" s="16816"/>
      <c r="AP2" s="16817"/>
      <c r="AQ2" s="16815"/>
      <c r="AR2" s="16816"/>
      <c r="AS2" s="16816"/>
      <c r="AT2" s="16816"/>
      <c r="AU2" s="16816"/>
      <c r="AV2" s="16816"/>
      <c r="AW2" s="16817"/>
      <c r="AX2" s="16815"/>
      <c r="AY2" s="16816"/>
      <c r="AZ2" s="16816"/>
      <c r="BA2" s="16816"/>
      <c r="BB2" s="16816"/>
      <c r="BC2" s="16816"/>
      <c r="BD2" s="16817"/>
      <c r="BE2" s="2585"/>
      <c r="BF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841"/>
      <c r="BI2" s="841" t="str">
        <f>IF(T2="","",T2)</f>
        <v>Наименование тарифа</v>
      </c>
      <c r="BJ2" s="841"/>
      <c r="BK2" s="841"/>
      <c r="BL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16815"/>
      <c r="AK3" s="16816"/>
      <c r="AL3" s="16816"/>
      <c r="AM3" s="16816"/>
      <c r="AN3" s="16816"/>
      <c r="AO3" s="16816"/>
      <c r="AP3" s="16817"/>
      <c r="AQ3" s="16815"/>
      <c r="AR3" s="16816"/>
      <c r="AS3" s="16816"/>
      <c r="AT3" s="16816"/>
      <c r="AU3" s="16816"/>
      <c r="AV3" s="16816"/>
      <c r="AW3" s="16817"/>
      <c r="AX3" s="16815"/>
      <c r="AY3" s="16816"/>
      <c r="AZ3" s="16816"/>
      <c r="BA3" s="16816"/>
      <c r="BB3" s="16816"/>
      <c r="BC3" s="16816"/>
      <c r="BD3" s="16817"/>
      <c r="BE3" s="2585"/>
      <c r="BF3" s="1599" t="s">
        <v>512</v>
      </c>
      <c r="BH3" s="841"/>
      <c r="BI3" s="841" t="str">
        <f>IF(T3="","",T3)</f>
        <v>Территория действия тарифа</v>
      </c>
      <c r="BJ3" s="841"/>
      <c r="BK3" s="841"/>
      <c r="BL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592</v>
      </c>
      <c r="U4" s="641"/>
      <c r="V4" s="2583"/>
      <c r="W4" s="2584"/>
      <c r="X4" s="2584"/>
      <c r="Y4" s="2584"/>
      <c r="Z4" s="2584"/>
      <c r="AA4" s="2584"/>
      <c r="AB4" s="2585"/>
      <c r="AC4" s="2583">
        <f>INDEX(PT_DIFFERENTIATION_CS,MATCH(C4,PT_DIFFERENTIATION_CS_ID,0))</f>
      </c>
      <c r="AD4" s="2584"/>
      <c r="AE4" s="2584"/>
      <c r="AF4" s="2584"/>
      <c r="AG4" s="2584"/>
      <c r="AH4" s="2584"/>
      <c r="AI4" s="2584"/>
      <c r="AJ4" s="16815"/>
      <c r="AK4" s="16816"/>
      <c r="AL4" s="16816"/>
      <c r="AM4" s="16816"/>
      <c r="AN4" s="16816"/>
      <c r="AO4" s="16816"/>
      <c r="AP4" s="16817"/>
      <c r="AQ4" s="16815"/>
      <c r="AR4" s="16816"/>
      <c r="AS4" s="16816"/>
      <c r="AT4" s="16816"/>
      <c r="AU4" s="16816"/>
      <c r="AV4" s="16816"/>
      <c r="AW4" s="16817"/>
      <c r="AX4" s="16815"/>
      <c r="AY4" s="16816"/>
      <c r="AZ4" s="16816"/>
      <c r="BA4" s="16816"/>
      <c r="BB4" s="16816"/>
      <c r="BC4" s="16816"/>
      <c r="BD4" s="16817"/>
      <c r="BE4" s="2585"/>
      <c r="BF4" s="1599" t="s">
        <v>593</v>
      </c>
      <c r="BH4" s="841"/>
      <c r="BI4" s="841" t="str">
        <f>IF(T4="","",T4)</f>
        <v>Наименование централизованной системы холодного водоснабжения</v>
      </c>
      <c r="BJ4" s="841"/>
      <c r="BK4" s="841"/>
      <c r="BL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594</v>
      </c>
      <c r="U5" s="641"/>
      <c r="V5" s="2691"/>
      <c r="W5" s="2692"/>
      <c r="X5" s="2692"/>
      <c r="Y5" s="2692"/>
      <c r="Z5" s="2692"/>
      <c r="AA5" s="2692"/>
      <c r="AB5" s="2693"/>
      <c r="AC5" s="2694"/>
      <c r="AD5" s="2695"/>
      <c r="AE5" s="2695"/>
      <c r="AF5" s="2695"/>
      <c r="AG5" s="2695"/>
      <c r="AH5" s="2695"/>
      <c r="AI5" s="2695"/>
      <c r="AJ5" s="16828"/>
      <c r="AK5" s="16829"/>
      <c r="AL5" s="16829"/>
      <c r="AM5" s="16829"/>
      <c r="AN5" s="16829"/>
      <c r="AO5" s="16829"/>
      <c r="AP5" s="16830"/>
      <c r="AQ5" s="16828"/>
      <c r="AR5" s="16829"/>
      <c r="AS5" s="16829"/>
      <c r="AT5" s="16829"/>
      <c r="AU5" s="16829"/>
      <c r="AV5" s="16829"/>
      <c r="AW5" s="16830"/>
      <c r="AX5" s="16828"/>
      <c r="AY5" s="16829"/>
      <c r="AZ5" s="16829"/>
      <c r="BA5" s="16829"/>
      <c r="BB5" s="16829"/>
      <c r="BC5" s="16829"/>
      <c r="BD5" s="16830"/>
      <c r="BE5" s="2696"/>
      <c r="BF5" s="1599" t="s">
        <v>595</v>
      </c>
      <c r="BH5" s="841"/>
      <c r="BI5" s="841" t="str">
        <f>IF(T5="","",T5)</f>
        <v>Наименование признака дифференциации</v>
      </c>
      <c r="BJ5" s="841"/>
      <c r="BK5" s="841"/>
      <c r="BL5" s="1496">
        <v>0</v>
      </c>
    </row>
    <row customHeight="1" ht="23.25" hidden="1">
      <c r="A6" s="1704"/>
      <c r="B6" s="1704"/>
      <c r="C6" s="1704"/>
      <c r="D6" s="1704"/>
      <c r="E6" s="2600"/>
      <c r="F6" s="2600"/>
      <c r="G6" s="2600"/>
      <c r="H6" s="2600"/>
      <c r="I6" s="2627"/>
      <c r="J6" s="2597">
        <f>I5&amp;".1"</f>
      </c>
      <c r="K6" s="1704"/>
      <c r="L6" s="1705" t="s">
        <v>520</v>
      </c>
      <c r="P6" s="2598"/>
      <c r="Q6" s="2598">
        <v>1</v>
      </c>
      <c r="R6" s="698"/>
      <c r="S6" s="1798">
        <f>$J6</f>
      </c>
      <c r="T6" s="627" t="s">
        <v>521</v>
      </c>
      <c r="U6" s="641"/>
      <c r="V6" s="2586"/>
      <c r="W6" s="2587"/>
      <c r="X6" s="2587"/>
      <c r="Y6" s="2587"/>
      <c r="Z6" s="2587"/>
      <c r="AA6" s="2587"/>
      <c r="AB6" s="2588"/>
      <c r="AC6" s="2586"/>
      <c r="AD6" s="2587"/>
      <c r="AE6" s="2587"/>
      <c r="AF6" s="2587"/>
      <c r="AG6" s="2587"/>
      <c r="AH6" s="2587"/>
      <c r="AI6" s="2587"/>
      <c r="AJ6" s="16838"/>
      <c r="AK6" s="16839"/>
      <c r="AL6" s="16839"/>
      <c r="AM6" s="16839"/>
      <c r="AN6" s="16839"/>
      <c r="AO6" s="16839"/>
      <c r="AP6" s="16840"/>
      <c r="AQ6" s="16838"/>
      <c r="AR6" s="16839"/>
      <c r="AS6" s="16839"/>
      <c r="AT6" s="16839"/>
      <c r="AU6" s="16839"/>
      <c r="AV6" s="16839"/>
      <c r="AW6" s="16840"/>
      <c r="AX6" s="16838"/>
      <c r="AY6" s="16839"/>
      <c r="AZ6" s="16839"/>
      <c r="BA6" s="16839"/>
      <c r="BB6" s="16839"/>
      <c r="BC6" s="16839"/>
      <c r="BD6" s="16840"/>
      <c r="BE6" s="2588"/>
      <c r="BF6" s="1648" t="s">
        <v>596</v>
      </c>
      <c r="BH6" s="841"/>
      <c r="BI6" s="841" t="str">
        <f>IF(T6="","",T6)</f>
        <v>Группа потребителей</v>
      </c>
      <c r="BJ6" s="841"/>
      <c r="BK6" s="841"/>
      <c r="BL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6844"/>
      <c r="AK7" s="16844"/>
      <c r="AL7" s="16845"/>
      <c r="AM7" s="16846"/>
      <c r="AN7" s="16847" t="s">
        <v>66</v>
      </c>
      <c r="AO7" s="16846"/>
      <c r="AP7" s="16847" t="s">
        <v>66</v>
      </c>
      <c r="AQ7" s="16844"/>
      <c r="AR7" s="16844"/>
      <c r="AS7" s="16845"/>
      <c r="AT7" s="16846"/>
      <c r="AU7" s="16847" t="s">
        <v>66</v>
      </c>
      <c r="AV7" s="16846"/>
      <c r="AW7" s="16847" t="s">
        <v>66</v>
      </c>
      <c r="AX7" s="16844"/>
      <c r="AY7" s="16844"/>
      <c r="AZ7" s="16845"/>
      <c r="BA7" s="16846"/>
      <c r="BB7" s="16847" t="s">
        <v>66</v>
      </c>
      <c r="BC7" s="16846"/>
      <c r="BD7" s="16847" t="s">
        <v>66</v>
      </c>
      <c r="BE7" s="1779"/>
      <c r="BF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852">
        <f>STRCHECKDATE(V8:BE8)</f>
      </c>
      <c r="BH7" s="841"/>
      <c r="BI7" s="841" t="str">
        <f>IF(T7="","",T7)</f>
        <v/>
      </c>
      <c r="BJ7" s="841"/>
      <c r="BK7" s="841"/>
      <c r="BL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6852"/>
      <c r="AK8" s="16852"/>
      <c r="AL8" s="16716" t="str">
        <f>AM7&amp;"-"&amp;AO7</f>
        <v>-</v>
      </c>
      <c r="AM8" s="16853"/>
      <c r="AN8" s="16847"/>
      <c r="AO8" s="16853"/>
      <c r="AP8" s="16847"/>
      <c r="AQ8" s="16852"/>
      <c r="AR8" s="16852"/>
      <c r="AS8" s="16716" t="str">
        <f>AT7&amp;"-"&amp;AV7</f>
        <v>-</v>
      </c>
      <c r="AT8" s="16853"/>
      <c r="AU8" s="16847"/>
      <c r="AV8" s="16853"/>
      <c r="AW8" s="16847"/>
      <c r="AX8" s="16852"/>
      <c r="AY8" s="16852"/>
      <c r="AZ8" s="16716" t="str">
        <f>BA7&amp;"-"&amp;BC7</f>
        <v>-</v>
      </c>
      <c r="BA8" s="16853"/>
      <c r="BB8" s="16847"/>
      <c r="BC8" s="16853"/>
      <c r="BD8" s="16847"/>
      <c r="BE8" s="1780"/>
      <c r="BF8" s="2690"/>
      <c r="BH8" s="841"/>
      <c r="BI8" s="841" t="str">
        <f>IF(T8="","",T8)</f>
        <v/>
      </c>
      <c r="BJ8" s="841"/>
      <c r="BK8" s="841"/>
      <c r="BL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19901"/>
      <c r="AK9" s="19902"/>
      <c r="AL9" s="19903"/>
      <c r="AM9" s="19904"/>
      <c r="AN9" s="19905"/>
      <c r="AO9" s="19906"/>
      <c r="AP9" s="19907"/>
      <c r="AQ9" s="19908"/>
      <c r="AR9" s="19909"/>
      <c r="AS9" s="19910"/>
      <c r="AT9" s="19911"/>
      <c r="AU9" s="19912"/>
      <c r="AV9" s="19913"/>
      <c r="AW9" s="19914"/>
      <c r="AX9" s="19915"/>
      <c r="AY9" s="19916"/>
      <c r="AZ9" s="19917"/>
      <c r="BA9" s="19918"/>
      <c r="BB9" s="19919"/>
      <c r="BC9" s="19920"/>
      <c r="BD9" s="19921"/>
      <c r="BE9" s="708"/>
      <c r="BF9" s="1599" t="s">
        <v>598</v>
      </c>
      <c r="BH9" s="841"/>
      <c r="BI9" s="841" t="str">
        <f>IF(T9="","",T9)</f>
        <v>Добавить значение признака дифференциации</v>
      </c>
      <c r="BJ9" s="841"/>
      <c r="BK9" s="841"/>
      <c r="BL9" s="1496">
        <v>0</v>
      </c>
    </row>
    <row customHeight="1" ht="21" hidden="1">
      <c r="A10" s="1704"/>
      <c r="B10" s="1704"/>
      <c r="C10" s="1704"/>
      <c r="D10" s="1704"/>
      <c r="E10" s="2600"/>
      <c r="F10" s="2600"/>
      <c r="G10" s="2600"/>
      <c r="H10" s="2600"/>
      <c r="I10" s="2597"/>
      <c r="J10" s="1704"/>
      <c r="K10" s="1704"/>
      <c r="L10" s="1705"/>
      <c r="P10" s="2598"/>
      <c r="Q10" s="1791"/>
      <c r="R10" s="697"/>
      <c r="S10" s="1619"/>
      <c r="T10" s="706" t="s">
        <v>526</v>
      </c>
      <c r="U10" s="708"/>
      <c r="V10" s="708"/>
      <c r="W10" s="708"/>
      <c r="X10" s="708"/>
      <c r="Y10" s="708"/>
      <c r="Z10" s="708"/>
      <c r="AA10" s="708"/>
      <c r="AB10" s="707"/>
      <c r="AC10" s="708"/>
      <c r="AD10" s="708"/>
      <c r="AE10" s="708"/>
      <c r="AF10" s="708"/>
      <c r="AG10" s="708"/>
      <c r="AH10" s="708"/>
      <c r="AI10" s="707"/>
      <c r="AJ10" s="19922"/>
      <c r="AK10" s="19923"/>
      <c r="AL10" s="19924"/>
      <c r="AM10" s="19925"/>
      <c r="AN10" s="19926"/>
      <c r="AO10" s="19927"/>
      <c r="AP10" s="19928"/>
      <c r="AQ10" s="19929"/>
      <c r="AR10" s="19930"/>
      <c r="AS10" s="19931"/>
      <c r="AT10" s="19932"/>
      <c r="AU10" s="19933"/>
      <c r="AV10" s="19934"/>
      <c r="AW10" s="19935"/>
      <c r="AX10" s="19936"/>
      <c r="AY10" s="19937"/>
      <c r="AZ10" s="19938"/>
      <c r="BA10" s="19939"/>
      <c r="BB10" s="19940"/>
      <c r="BC10" s="19941"/>
      <c r="BD10" s="19942"/>
      <c r="BE10" s="708"/>
      <c r="BF10" s="1781"/>
      <c r="BH10" s="841"/>
      <c r="BI10" s="841" t="str">
        <f>IF(T10="","",T10)</f>
        <v>Добавить группу потребителей</v>
      </c>
      <c r="BJ10" s="841"/>
      <c r="BK10" s="841"/>
      <c r="BL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19943"/>
      <c r="AK11" s="19944"/>
      <c r="AL11" s="19945"/>
      <c r="AM11" s="19946"/>
      <c r="AN11" s="19947"/>
      <c r="AO11" s="19948"/>
      <c r="AP11" s="19949"/>
      <c r="AQ11" s="19950"/>
      <c r="AR11" s="19951"/>
      <c r="AS11" s="19952"/>
      <c r="AT11" s="19953"/>
      <c r="AU11" s="19954"/>
      <c r="AV11" s="19955"/>
      <c r="AW11" s="19956"/>
      <c r="AX11" s="19957"/>
      <c r="AY11" s="19958"/>
      <c r="AZ11" s="19959"/>
      <c r="BA11" s="19960"/>
      <c r="BB11" s="19961"/>
      <c r="BC11" s="19962"/>
      <c r="BD11" s="19963"/>
      <c r="BE11" s="708"/>
      <c r="BF11" s="644"/>
      <c r="BH11" s="841"/>
      <c r="BI11" s="841" t="str">
        <f>IF(T11="","",T11)</f>
        <v>Добавить наименование признака дифференциации</v>
      </c>
      <c r="BJ11" s="841"/>
      <c r="BK11" s="841"/>
      <c r="BL11" s="1496">
        <v>0</v>
      </c>
    </row>
    <row s="2168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7951"/>
      <c r="AK12" s="17951"/>
      <c r="AL12" s="17951"/>
      <c r="AM12" s="17951"/>
      <c r="AN12" s="17951"/>
      <c r="AO12" s="17951"/>
      <c r="AP12" s="17951"/>
      <c r="AQ12" s="17951"/>
      <c r="AR12" s="17951"/>
      <c r="AS12" s="17951"/>
      <c r="AT12" s="17951"/>
      <c r="AU12" s="17951"/>
      <c r="AV12" s="17951"/>
      <c r="AW12" s="17951"/>
      <c r="AX12" s="17951"/>
      <c r="AY12" s="17951"/>
      <c r="AZ12" s="17951"/>
      <c r="BA12" s="17951"/>
      <c r="BB12" s="17951"/>
      <c r="BC12" s="17951"/>
      <c r="BD12" s="17951"/>
      <c r="BE12" s="1665"/>
      <c r="BF12" s="1665"/>
      <c r="BH12" s="1130"/>
      <c r="BI12" s="1130" t="str">
        <f>IF(T12="","",T12)</f>
        <v>Добавить централизованную систему для дифференциации</v>
      </c>
      <c r="BJ12" s="1130"/>
      <c r="BK12" s="1130"/>
      <c r="BL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7951"/>
      <c r="AK13" s="17951"/>
      <c r="AL13" s="17951"/>
      <c r="AM13" s="17951"/>
      <c r="AN13" s="17951"/>
      <c r="AO13" s="17951"/>
      <c r="AP13" s="17951"/>
      <c r="AQ13" s="17951"/>
      <c r="AR13" s="17951"/>
      <c r="AS13" s="17951"/>
      <c r="AT13" s="17951"/>
      <c r="AU13" s="17951"/>
      <c r="AV13" s="17951"/>
      <c r="AW13" s="17951"/>
      <c r="AX13" s="17951"/>
      <c r="AY13" s="17951"/>
      <c r="AZ13" s="17951"/>
      <c r="BA13" s="17951"/>
      <c r="BB13" s="17951"/>
      <c r="BC13" s="17951"/>
      <c r="BD13" s="17951"/>
      <c r="BE13" s="1665"/>
      <c r="BF13" s="1665"/>
      <c r="BH13" s="841"/>
      <c r="BI13" s="841" t="str">
        <f>IF(T13="","",T13)</f>
        <v>Добавить территорию для дифференциации</v>
      </c>
      <c r="BJ13" s="841"/>
      <c r="BK13" s="841"/>
      <c r="BL13" s="852">
        <v>0</v>
      </c>
    </row>
    <row customHeight="1" ht="14.25" hidden="1">
      <c r="AB14" s="668"/>
      <c r="AI14" s="668"/>
      <c r="AJ14" s="16821"/>
      <c r="AK14" s="16821"/>
      <c r="AL14" s="16821"/>
      <c r="AM14" s="16821"/>
      <c r="AN14" s="16821"/>
      <c r="AO14" s="16821"/>
      <c r="AP14" s="16821"/>
      <c r="AQ14" s="16821"/>
      <c r="AR14" s="16821"/>
      <c r="AS14" s="16821"/>
      <c r="AT14" s="16821"/>
      <c r="AU14" s="16821"/>
      <c r="AV14" s="16821"/>
      <c r="AW14" s="16821"/>
      <c r="AX14" s="16821"/>
      <c r="AY14" s="16821"/>
      <c r="AZ14" s="16821"/>
      <c r="BA14" s="16821"/>
      <c r="BB14" s="16821"/>
      <c r="BC14" s="16821"/>
      <c r="BD14" s="16821"/>
      <c r="BL14" s="1496">
        <v>0</v>
      </c>
    </row>
    <row customHeight="1" ht="14.25" hidden="1">
      <c r="AC15" s="1701"/>
      <c r="AD15" s="1701"/>
      <c r="AE15" s="1702"/>
      <c r="AF15" s="2608"/>
      <c r="AG15" s="2609" t="s">
        <v>66</v>
      </c>
      <c r="AH15" s="2608"/>
      <c r="AI15" s="2609" t="s">
        <v>66</v>
      </c>
      <c r="AJ15" s="16821"/>
      <c r="AK15" s="16821"/>
      <c r="AL15" s="16821"/>
      <c r="AM15" s="16821"/>
      <c r="AN15" s="16821"/>
      <c r="AO15" s="16821"/>
      <c r="AP15" s="16821"/>
      <c r="AQ15" s="16821"/>
      <c r="AR15" s="16821"/>
      <c r="AS15" s="16821"/>
      <c r="AT15" s="16821"/>
      <c r="AU15" s="16821"/>
      <c r="AV15" s="16821"/>
      <c r="AW15" s="16821"/>
      <c r="AX15" s="16821"/>
      <c r="AY15" s="16821"/>
      <c r="AZ15" s="16821"/>
      <c r="BA15" s="16821"/>
      <c r="BB15" s="16821"/>
      <c r="BC15" s="16821"/>
      <c r="BD15" s="16821"/>
      <c r="BL15" s="1496">
        <v>0</v>
      </c>
    </row>
    <row customHeight="1" ht="14.25" hidden="1">
      <c r="AC16" s="1701"/>
      <c r="AD16" s="1701"/>
      <c r="AE16" s="669" t="str">
        <f>AF15&amp;"-"&amp;AH15</f>
        <v>-</v>
      </c>
      <c r="AF16" s="2609"/>
      <c r="AG16" s="2609"/>
      <c r="AH16" s="2609"/>
      <c r="AI16" s="2609"/>
      <c r="AJ16" s="16821"/>
      <c r="AK16" s="16821"/>
      <c r="AL16" s="16821"/>
      <c r="AM16" s="16821"/>
      <c r="AN16" s="16821"/>
      <c r="AO16" s="16821"/>
      <c r="AP16" s="16821"/>
      <c r="AQ16" s="16821"/>
      <c r="AR16" s="16821"/>
      <c r="AS16" s="16821"/>
      <c r="AT16" s="16821"/>
      <c r="AU16" s="16821"/>
      <c r="AV16" s="16821"/>
      <c r="AW16" s="16821"/>
      <c r="AX16" s="16821"/>
      <c r="AY16" s="16821"/>
      <c r="AZ16" s="16821"/>
      <c r="BA16" s="16821"/>
      <c r="BB16" s="16821"/>
      <c r="BC16" s="16821"/>
      <c r="BD16" s="16821"/>
      <c r="BL16" s="1496">
        <v>0</v>
      </c>
    </row>
    <row customHeight="1" ht="14.25" hidden="1">
      <c r="AI17" s="668"/>
      <c r="AJ17" s="16821"/>
      <c r="AK17" s="16821"/>
      <c r="AL17" s="16821"/>
      <c r="AM17" s="16821"/>
      <c r="AN17" s="16821"/>
      <c r="AO17" s="16821"/>
      <c r="AP17" s="16821"/>
      <c r="AQ17" s="16821"/>
      <c r="AR17" s="16821"/>
      <c r="AS17" s="16821"/>
      <c r="AT17" s="16821"/>
      <c r="AU17" s="16821"/>
      <c r="AV17" s="16821"/>
      <c r="AW17" s="16821"/>
      <c r="AX17" s="16821"/>
      <c r="AY17" s="16821"/>
      <c r="AZ17" s="16821"/>
      <c r="BA17" s="16821"/>
      <c r="BB17" s="16821"/>
      <c r="BC17" s="16821"/>
      <c r="BD17" s="16821"/>
      <c r="BL17" s="1496">
        <v>0</v>
      </c>
    </row>
    <row s="21687" customFormat="1" customHeight="1" ht="22.5" hidden="1">
      <c r="L18" s="1788"/>
      <c r="M18" s="1703"/>
      <c r="N18" s="1703"/>
      <c r="O18" s="1708" t="s">
        <v>529</v>
      </c>
      <c r="P18" s="1703"/>
      <c r="Q18" s="1712"/>
      <c r="R18" s="1712"/>
      <c r="S18" s="1070"/>
      <c r="Y18" s="1708"/>
      <c r="AA18" s="1708"/>
      <c r="AB18" s="1707"/>
      <c r="AF18" s="1708"/>
      <c r="AH18" s="1708"/>
      <c r="AI18" s="1707"/>
      <c r="AJ18" s="16952"/>
      <c r="AK18" s="16952"/>
      <c r="AL18" s="16952"/>
      <c r="AM18" s="19966"/>
      <c r="AN18" s="16952"/>
      <c r="AO18" s="19966"/>
      <c r="AP18" s="16952"/>
      <c r="AQ18" s="16952"/>
      <c r="AR18" s="16952"/>
      <c r="AS18" s="16952"/>
      <c r="AT18" s="19966"/>
      <c r="AU18" s="16952"/>
      <c r="AV18" s="19966"/>
      <c r="AW18" s="16952"/>
      <c r="AX18" s="16952"/>
      <c r="AY18" s="16952"/>
      <c r="AZ18" s="16952"/>
      <c r="BA18" s="19966"/>
      <c r="BB18" s="16952"/>
      <c r="BC18" s="19966"/>
      <c r="BD18" s="16952"/>
      <c r="BG18" s="852"/>
      <c r="BH18" s="852"/>
      <c r="BI18" s="852"/>
      <c r="BJ18" s="852"/>
      <c r="BK18" s="852"/>
      <c r="BL18" s="1501">
        <v>0</v>
      </c>
    </row>
    <row s="21687" customFormat="1" customHeight="1" ht="14.25" hidden="1">
      <c r="L19" s="1788"/>
      <c r="M19" s="1703"/>
      <c r="N19" s="1703"/>
      <c r="O19" s="1703"/>
      <c r="P19" s="1703"/>
      <c r="Q19" s="1712"/>
      <c r="R19" s="1712"/>
      <c r="S19" s="1070"/>
      <c r="AB19" s="1707"/>
      <c r="AI19" s="1707"/>
      <c r="AJ19" s="16952"/>
      <c r="AK19" s="16952"/>
      <c r="AL19" s="16952"/>
      <c r="AM19" s="16952"/>
      <c r="AN19" s="16952"/>
      <c r="AO19" s="16952"/>
      <c r="AP19" s="16952"/>
      <c r="AQ19" s="16952"/>
      <c r="AR19" s="16952"/>
      <c r="AS19" s="16952"/>
      <c r="AT19" s="16952"/>
      <c r="AU19" s="16952"/>
      <c r="AV19" s="16952"/>
      <c r="AW19" s="16952"/>
      <c r="AX19" s="16952"/>
      <c r="AY19" s="16952"/>
      <c r="AZ19" s="16952"/>
      <c r="BA19" s="16952"/>
      <c r="BB19" s="16952"/>
      <c r="BC19" s="16952"/>
      <c r="BD19" s="16952"/>
      <c r="BG19" s="852"/>
      <c r="BH19" s="852"/>
      <c r="BI19" s="852"/>
      <c r="BJ19" s="852"/>
      <c r="BK19" s="852"/>
      <c r="BL19" s="1501">
        <v>0</v>
      </c>
    </row>
    <row s="21687" customFormat="1" customHeight="1" ht="12" hidden="1">
      <c r="L20" s="1788"/>
      <c r="M20" s="1703"/>
      <c r="N20" s="1703"/>
      <c r="O20" s="1705" t="s">
        <v>530</v>
      </c>
      <c r="P20" s="1703"/>
      <c r="Q20" s="1783"/>
      <c r="R20" s="1783"/>
      <c r="S20" s="1070"/>
      <c r="T20" s="1501" t="s">
        <v>531</v>
      </c>
      <c r="Z20" s="527" t="s">
        <v>532</v>
      </c>
      <c r="AB20" s="527" t="s">
        <v>533</v>
      </c>
      <c r="AC20" s="1501" t="s">
        <v>531</v>
      </c>
      <c r="AG20" s="527" t="s">
        <v>534</v>
      </c>
      <c r="AI20" s="527" t="s">
        <v>533</v>
      </c>
      <c r="AJ20" s="16952"/>
      <c r="AK20" s="16952"/>
      <c r="AL20" s="16952"/>
      <c r="AM20" s="16952"/>
      <c r="AN20" s="19967" t="s">
        <v>532</v>
      </c>
      <c r="AO20" s="16952"/>
      <c r="AP20" s="19967" t="s">
        <v>533</v>
      </c>
      <c r="AQ20" s="16952"/>
      <c r="AR20" s="16952"/>
      <c r="AS20" s="16952"/>
      <c r="AT20" s="16952"/>
      <c r="AU20" s="19967" t="s">
        <v>532</v>
      </c>
      <c r="AV20" s="16952"/>
      <c r="AW20" s="19967" t="s">
        <v>533</v>
      </c>
      <c r="AX20" s="16952"/>
      <c r="AY20" s="16952"/>
      <c r="AZ20" s="16952"/>
      <c r="BA20" s="16952"/>
      <c r="BB20" s="19967" t="s">
        <v>532</v>
      </c>
      <c r="BC20" s="16952"/>
      <c r="BD20" s="19967" t="s">
        <v>533</v>
      </c>
      <c r="BL20" s="1501">
        <v>0</v>
      </c>
    </row>
    <row customHeight="1" ht="14.25" hidden="1">
      <c r="O21" s="1705"/>
      <c r="AJ21" s="16821"/>
      <c r="AK21" s="16821"/>
      <c r="AL21" s="16821"/>
      <c r="AM21" s="16821"/>
      <c r="AN21" s="16821"/>
      <c r="AO21" s="16821"/>
      <c r="AP21" s="16821"/>
      <c r="AQ21" s="16821"/>
      <c r="AR21" s="16821"/>
      <c r="AS21" s="16821"/>
      <c r="AT21" s="16821"/>
      <c r="AU21" s="16821"/>
      <c r="AV21" s="16821"/>
      <c r="AW21" s="16821"/>
      <c r="AX21" s="16821"/>
      <c r="AY21" s="16821"/>
      <c r="AZ21" s="16821"/>
      <c r="BA21" s="16821"/>
      <c r="BB21" s="16821"/>
      <c r="BC21" s="16821"/>
      <c r="BD21" s="16821"/>
      <c r="BL21" s="1496">
        <v>0</v>
      </c>
    </row>
    <row customHeight="1" ht="14.25" hidden="1">
      <c r="O22" s="1705"/>
      <c r="AJ22" s="16821"/>
      <c r="AK22" s="16821"/>
      <c r="AL22" s="16821"/>
      <c r="AM22" s="16821"/>
      <c r="AN22" s="16821"/>
      <c r="AO22" s="16821"/>
      <c r="AP22" s="16821"/>
      <c r="AQ22" s="16821"/>
      <c r="AR22" s="16821"/>
      <c r="AS22" s="16821"/>
      <c r="AT22" s="16821"/>
      <c r="AU22" s="16821"/>
      <c r="AV22" s="16821"/>
      <c r="AW22" s="16821"/>
      <c r="AX22" s="16821"/>
      <c r="AY22" s="16821"/>
      <c r="AZ22" s="16821"/>
      <c r="BA22" s="16821"/>
      <c r="BB22" s="16821"/>
      <c r="BC22" s="16821"/>
      <c r="BD22" s="16821"/>
      <c r="BL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J23" s="16821"/>
      <c r="AK23" s="16821"/>
      <c r="AL23" s="16821"/>
      <c r="AM23" s="16821"/>
      <c r="AN23" s="16821"/>
      <c r="AO23" s="16821"/>
      <c r="AP23" s="16821"/>
      <c r="AQ23" s="16821"/>
      <c r="AR23" s="16821"/>
      <c r="AS23" s="16821"/>
      <c r="AT23" s="16821"/>
      <c r="AU23" s="16821"/>
      <c r="AV23" s="16821"/>
      <c r="AW23" s="16821"/>
      <c r="AX23" s="16821"/>
      <c r="AY23" s="16821"/>
      <c r="AZ23" s="16821"/>
      <c r="BA23" s="16821"/>
      <c r="BB23" s="16821"/>
      <c r="BC23" s="16821"/>
      <c r="BD23" s="16821"/>
      <c r="BL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J24" s="19968"/>
      <c r="AK24" s="19968"/>
      <c r="AL24" s="19968"/>
      <c r="AM24" s="19968"/>
      <c r="AN24" s="19968"/>
      <c r="AO24" s="19968"/>
      <c r="AP24" s="19968"/>
      <c r="AQ24" s="19968"/>
      <c r="AR24" s="19968"/>
      <c r="AS24" s="19968"/>
      <c r="AT24" s="19968"/>
      <c r="AU24" s="19968"/>
      <c r="AV24" s="19968"/>
      <c r="AW24" s="19968"/>
      <c r="AX24" s="19968"/>
      <c r="AY24" s="19968"/>
      <c r="AZ24" s="19968"/>
      <c r="BA24" s="19968"/>
      <c r="BB24" s="19968"/>
      <c r="BC24" s="19968"/>
      <c r="BD24" s="19968"/>
      <c r="BL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J25" s="19969"/>
      <c r="AK25" s="19969"/>
      <c r="AL25" s="19969"/>
      <c r="AM25" s="19969"/>
      <c r="AN25" s="19969"/>
      <c r="AO25" s="19969"/>
      <c r="AP25" s="19969"/>
      <c r="AQ25" s="19969"/>
      <c r="AR25" s="19969"/>
      <c r="AS25" s="19969"/>
      <c r="AT25" s="19969"/>
      <c r="AU25" s="19969"/>
      <c r="AV25" s="19969"/>
      <c r="AW25" s="19969"/>
      <c r="AX25" s="19969"/>
      <c r="AY25" s="19969"/>
      <c r="AZ25" s="19969"/>
      <c r="BA25" s="19969"/>
      <c r="BB25" s="19969"/>
      <c r="BC25" s="19969"/>
      <c r="BD25" s="19969"/>
      <c r="BL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19970"/>
      <c r="AK26" s="19970"/>
      <c r="AL26" s="19970"/>
      <c r="AM26" s="19970"/>
      <c r="AN26" s="19970"/>
      <c r="AO26" s="19970"/>
      <c r="AP26" s="19970"/>
      <c r="AQ26" s="19970"/>
      <c r="AR26" s="19970"/>
      <c r="AS26" s="19970"/>
      <c r="AT26" s="19970"/>
      <c r="AU26" s="19970"/>
      <c r="AV26" s="19970"/>
      <c r="AW26" s="19970"/>
      <c r="AX26" s="19970"/>
      <c r="AY26" s="19970"/>
      <c r="AZ26" s="19970"/>
      <c r="BA26" s="19970"/>
      <c r="BB26" s="19970"/>
      <c r="BC26" s="19970"/>
      <c r="BD26" s="19970"/>
      <c r="BE26" s="850"/>
      <c r="BL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19971" t="str">
        <f>IF(TITLE_NAME_OR_PR_CHANGE="",IF(TITLE_NAME_OR_PR="","",TITLE_NAME_OR_PR),TITLE_NAME_OR_PR_CHANGE)</f>
        <v/>
      </c>
      <c r="AK27" s="19971"/>
      <c r="AL27" s="19971"/>
      <c r="AM27" s="19971"/>
      <c r="AN27" s="19971"/>
      <c r="AO27" s="19971"/>
      <c r="AP27" s="16821"/>
      <c r="AQ27" s="19971" t="str">
        <f>IF(TITLE_NAME_OR_PR_CHANGE="",IF(TITLE_NAME_OR_PR="","",TITLE_NAME_OR_PR),TITLE_NAME_OR_PR_CHANGE)</f>
        <v/>
      </c>
      <c r="AR27" s="19971"/>
      <c r="AS27" s="19971"/>
      <c r="AT27" s="19971"/>
      <c r="AU27" s="19971"/>
      <c r="AV27" s="19971"/>
      <c r="AW27" s="16821"/>
      <c r="AX27" s="19971" t="str">
        <f>IF(TITLE_NAME_OR_PR_CHANGE="",IF(TITLE_NAME_OR_PR="","",TITLE_NAME_OR_PR),TITLE_NAME_OR_PR_CHANGE)</f>
        <v/>
      </c>
      <c r="AY27" s="19971"/>
      <c r="AZ27" s="19971"/>
      <c r="BA27" s="19971"/>
      <c r="BB27" s="19971"/>
      <c r="BC27" s="19971"/>
      <c r="BD27" s="16821"/>
      <c r="BE27" s="667"/>
      <c r="BF27" s="621"/>
      <c r="BG27" s="709"/>
      <c r="BH27" s="709"/>
      <c r="BI27" s="709"/>
      <c r="BJ27" s="709"/>
      <c r="BK27" s="709"/>
      <c r="BL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19972" t="str">
        <f>IF(TITLE_DATE_PR_CHANGE="",IF(TITLE_DATE_PR="","",TITLE_DATE_PR),TITLE_DATE_PR_CHANGE)</f>
        <v>45408.52040509259</v>
      </c>
      <c r="AK28" s="19972"/>
      <c r="AL28" s="19972"/>
      <c r="AM28" s="19972"/>
      <c r="AN28" s="19972"/>
      <c r="AO28" s="19972"/>
      <c r="AP28" s="16821"/>
      <c r="AQ28" s="19972" t="str">
        <f>IF(TITLE_DATE_PR_CHANGE="",IF(TITLE_DATE_PR="","",TITLE_DATE_PR),TITLE_DATE_PR_CHANGE)</f>
        <v>45408.52040509259</v>
      </c>
      <c r="AR28" s="19972"/>
      <c r="AS28" s="19972"/>
      <c r="AT28" s="19972"/>
      <c r="AU28" s="19972"/>
      <c r="AV28" s="19972"/>
      <c r="AW28" s="16821"/>
      <c r="AX28" s="19972" t="str">
        <f>IF(TITLE_DATE_PR_CHANGE="",IF(TITLE_DATE_PR="","",TITLE_DATE_PR),TITLE_DATE_PR_CHANGE)</f>
        <v>45408.52040509259</v>
      </c>
      <c r="AY28" s="19972"/>
      <c r="AZ28" s="19972"/>
      <c r="BA28" s="19972"/>
      <c r="BB28" s="19972"/>
      <c r="BC28" s="19972"/>
      <c r="BD28" s="16821"/>
      <c r="BE28" s="667"/>
      <c r="BF28" s="621"/>
      <c r="BG28" s="709"/>
      <c r="BH28" s="709"/>
      <c r="BI28" s="709"/>
      <c r="BJ28" s="709"/>
      <c r="BK28" s="709"/>
      <c r="BL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19971" t="str">
        <f>IF(TITLE_NUMBER_PR_CHANGE="",IF(TITLE_NUMBER_PR="","",TITLE_NUMBER_PR),TITLE_NUMBER_PR_CHANGE)</f>
        <v>27-2139</v>
      </c>
      <c r="AK29" s="19971"/>
      <c r="AL29" s="19971"/>
      <c r="AM29" s="19971"/>
      <c r="AN29" s="19971"/>
      <c r="AO29" s="19971"/>
      <c r="AP29" s="16821"/>
      <c r="AQ29" s="19971" t="str">
        <f>IF(TITLE_NUMBER_PR_CHANGE="",IF(TITLE_NUMBER_PR="","",TITLE_NUMBER_PR),TITLE_NUMBER_PR_CHANGE)</f>
        <v>27-2139</v>
      </c>
      <c r="AR29" s="19971"/>
      <c r="AS29" s="19971"/>
      <c r="AT29" s="19971"/>
      <c r="AU29" s="19971"/>
      <c r="AV29" s="19971"/>
      <c r="AW29" s="16821"/>
      <c r="AX29" s="19971" t="str">
        <f>IF(TITLE_NUMBER_PR_CHANGE="",IF(TITLE_NUMBER_PR="","",TITLE_NUMBER_PR),TITLE_NUMBER_PR_CHANGE)</f>
        <v>27-2139</v>
      </c>
      <c r="AY29" s="19971"/>
      <c r="AZ29" s="19971"/>
      <c r="BA29" s="19971"/>
      <c r="BB29" s="19971"/>
      <c r="BC29" s="19971"/>
      <c r="BD29" s="16821"/>
      <c r="BE29" s="667"/>
      <c r="BF29" s="621"/>
      <c r="BG29" s="709"/>
      <c r="BH29" s="709"/>
      <c r="BI29" s="709"/>
      <c r="BJ29" s="709"/>
      <c r="BK29" s="709"/>
      <c r="BL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19971" t="str">
        <f>IF(TITLE_IST_PUB_CHANGE="",IF(TITLE_IST_PUB="","",TITLE_IST_PUB),TITLE_IST_PUB_CHANGE)</f>
        <v/>
      </c>
      <c r="AK30" s="19971"/>
      <c r="AL30" s="19971"/>
      <c r="AM30" s="19971"/>
      <c r="AN30" s="19971"/>
      <c r="AO30" s="19971"/>
      <c r="AP30" s="16821"/>
      <c r="AQ30" s="19971" t="str">
        <f>IF(TITLE_IST_PUB_CHANGE="",IF(TITLE_IST_PUB="","",TITLE_IST_PUB),TITLE_IST_PUB_CHANGE)</f>
        <v/>
      </c>
      <c r="AR30" s="19971"/>
      <c r="AS30" s="19971"/>
      <c r="AT30" s="19971"/>
      <c r="AU30" s="19971"/>
      <c r="AV30" s="19971"/>
      <c r="AW30" s="16821"/>
      <c r="AX30" s="19971" t="str">
        <f>IF(TITLE_IST_PUB_CHANGE="",IF(TITLE_IST_PUB="","",TITLE_IST_PUB),TITLE_IST_PUB_CHANGE)</f>
        <v/>
      </c>
      <c r="AY30" s="19971"/>
      <c r="AZ30" s="19971"/>
      <c r="BA30" s="19971"/>
      <c r="BB30" s="19971"/>
      <c r="BC30" s="19971"/>
      <c r="BD30" s="16821"/>
      <c r="BE30" s="667"/>
      <c r="BF30" s="621"/>
      <c r="BG30" s="709"/>
      <c r="BH30" s="709"/>
      <c r="BI30" s="709"/>
      <c r="BJ30" s="709"/>
      <c r="BK30" s="709"/>
      <c r="BL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19970"/>
      <c r="AK31" s="19970"/>
      <c r="AL31" s="19970"/>
      <c r="AM31" s="19970"/>
      <c r="AN31" s="19970"/>
      <c r="AO31" s="19970"/>
      <c r="AP31" s="19970"/>
      <c r="AQ31" s="19970"/>
      <c r="AR31" s="19970"/>
      <c r="AS31" s="19970"/>
      <c r="AT31" s="19970"/>
      <c r="AU31" s="19970"/>
      <c r="AV31" s="19970"/>
      <c r="AW31" s="19970"/>
      <c r="AX31" s="19970"/>
      <c r="AY31" s="19970"/>
      <c r="AZ31" s="19970"/>
      <c r="BA31" s="19970"/>
      <c r="BB31" s="19970"/>
      <c r="BC31" s="19970"/>
      <c r="BD31" s="19970"/>
      <c r="BE31" s="850"/>
      <c r="BL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19972" t="str">
        <f>IF(TITLE_DATE_PR_CHANGE="",IF(TITLE_DATE_PR="","",TITLE_DATE_PR),TITLE_DATE_PR_CHANGE)</f>
        <v>45408.52040509259</v>
      </c>
      <c r="AK32" s="19972"/>
      <c r="AL32" s="19972"/>
      <c r="AM32" s="19972"/>
      <c r="AN32" s="19972"/>
      <c r="AO32" s="19972"/>
      <c r="AP32" s="16821"/>
      <c r="AQ32" s="19972" t="str">
        <f>IF(TITLE_DATE_PR_CHANGE="",IF(TITLE_DATE_PR="","",TITLE_DATE_PR),TITLE_DATE_PR_CHANGE)</f>
        <v>45408.52040509259</v>
      </c>
      <c r="AR32" s="19972"/>
      <c r="AS32" s="19972"/>
      <c r="AT32" s="19972"/>
      <c r="AU32" s="19972"/>
      <c r="AV32" s="19972"/>
      <c r="AW32" s="16821"/>
      <c r="AX32" s="19972" t="str">
        <f>IF(TITLE_DATE_PR_CHANGE="",IF(TITLE_DATE_PR="","",TITLE_DATE_PR),TITLE_DATE_PR_CHANGE)</f>
        <v>45408.52040509259</v>
      </c>
      <c r="AY32" s="19972"/>
      <c r="AZ32" s="19972"/>
      <c r="BA32" s="19972"/>
      <c r="BB32" s="19972"/>
      <c r="BC32" s="19972"/>
      <c r="BD32" s="16821"/>
      <c r="BE32" s="667"/>
      <c r="BF32" s="621"/>
      <c r="BG32" s="709"/>
      <c r="BH32" s="709"/>
      <c r="BI32" s="709"/>
      <c r="BJ32" s="709"/>
      <c r="BK32" s="709"/>
      <c r="BL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19971" t="str">
        <f>IF(TITLE_NUMBER_PR_CHANGE="",IF(TITLE_NUMBER_PR="","",TITLE_NUMBER_PR),TITLE_NUMBER_PR_CHANGE)</f>
        <v>27-2139</v>
      </c>
      <c r="AK33" s="19971"/>
      <c r="AL33" s="19971"/>
      <c r="AM33" s="19971"/>
      <c r="AN33" s="19971"/>
      <c r="AO33" s="19971"/>
      <c r="AP33" s="16821"/>
      <c r="AQ33" s="19971" t="str">
        <f>IF(TITLE_NUMBER_PR_CHANGE="",IF(TITLE_NUMBER_PR="","",TITLE_NUMBER_PR),TITLE_NUMBER_PR_CHANGE)</f>
        <v>27-2139</v>
      </c>
      <c r="AR33" s="19971"/>
      <c r="AS33" s="19971"/>
      <c r="AT33" s="19971"/>
      <c r="AU33" s="19971"/>
      <c r="AV33" s="19971"/>
      <c r="AW33" s="16821"/>
      <c r="AX33" s="19971" t="str">
        <f>IF(TITLE_NUMBER_PR_CHANGE="",IF(TITLE_NUMBER_PR="","",TITLE_NUMBER_PR),TITLE_NUMBER_PR_CHANGE)</f>
        <v>27-2139</v>
      </c>
      <c r="AY33" s="19971"/>
      <c r="AZ33" s="19971"/>
      <c r="BA33" s="19971"/>
      <c r="BB33" s="19971"/>
      <c r="BC33" s="19971"/>
      <c r="BD33" s="16821"/>
      <c r="BE33" s="667"/>
      <c r="BF33" s="621"/>
      <c r="BG33" s="709"/>
      <c r="BH33" s="709"/>
      <c r="BI33" s="709"/>
      <c r="BJ33" s="709"/>
      <c r="BK33" s="709"/>
      <c r="BL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539</v>
      </c>
      <c r="AC34" s="667"/>
      <c r="AD34" s="667"/>
      <c r="AE34" s="667"/>
      <c r="AF34" s="667"/>
      <c r="AG34" s="667"/>
      <c r="AH34" s="667"/>
      <c r="AI34" s="619" t="s">
        <v>539</v>
      </c>
      <c r="AJ34" s="16821"/>
      <c r="AK34" s="16821"/>
      <c r="AL34" s="16821"/>
      <c r="AM34" s="16821"/>
      <c r="AN34" s="16821"/>
      <c r="AO34" s="16821"/>
      <c r="AP34" s="16819" t="s">
        <v>539</v>
      </c>
      <c r="AQ34" s="16821"/>
      <c r="AR34" s="16821"/>
      <c r="AS34" s="16821"/>
      <c r="AT34" s="16821"/>
      <c r="AU34" s="16821"/>
      <c r="AV34" s="16821"/>
      <c r="AW34" s="16819" t="s">
        <v>539</v>
      </c>
      <c r="AX34" s="16821"/>
      <c r="AY34" s="16821"/>
      <c r="AZ34" s="16821"/>
      <c r="BA34" s="16821"/>
      <c r="BB34" s="16821"/>
      <c r="BC34" s="16821"/>
      <c r="BD34" s="16819" t="s">
        <v>539</v>
      </c>
      <c r="BG34" s="709"/>
      <c r="BH34" s="709"/>
      <c r="BI34" s="709"/>
      <c r="BJ34" s="709"/>
      <c r="BK34" s="709"/>
      <c r="BL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19974" t="s">
        <v>104</v>
      </c>
      <c r="AK35" s="19974"/>
      <c r="AL35" s="19974"/>
      <c r="AM35" s="19974"/>
      <c r="AN35" s="19974"/>
      <c r="AO35" s="19974"/>
      <c r="AP35" s="19974"/>
      <c r="AQ35" s="19974" t="s">
        <v>104</v>
      </c>
      <c r="AR35" s="19974"/>
      <c r="AS35" s="19974"/>
      <c r="AT35" s="19974"/>
      <c r="AU35" s="19974"/>
      <c r="AV35" s="19974"/>
      <c r="AW35" s="19974"/>
      <c r="AX35" s="19974" t="s">
        <v>104</v>
      </c>
      <c r="AY35" s="19974"/>
      <c r="AZ35" s="19974"/>
      <c r="BA35" s="19974"/>
      <c r="BB35" s="19974"/>
      <c r="BC35" s="19974"/>
      <c r="BD35" s="19974"/>
      <c r="BL35" s="1496">
        <v>14</v>
      </c>
    </row>
    <row customHeight="1" ht="15">
      <c r="Q36" s="717"/>
      <c r="R36" s="717"/>
      <c r="S36" s="2468" t="s">
        <v>414</v>
      </c>
      <c r="T36" s="2468"/>
      <c r="U36" s="2468"/>
      <c r="V36" s="2468"/>
      <c r="W36" s="2468"/>
      <c r="X36" s="2468"/>
      <c r="Y36" s="2468"/>
      <c r="Z36" s="2468"/>
      <c r="AA36" s="2468"/>
      <c r="AB36" s="2468"/>
      <c r="AC36" s="2468"/>
      <c r="AD36" s="2468"/>
      <c r="AE36" s="2468"/>
      <c r="AF36" s="2468"/>
      <c r="AG36" s="2468"/>
      <c r="AH36" s="2468"/>
      <c r="AI36" s="2468"/>
      <c r="AJ36" s="19975" t="s">
        <v>414</v>
      </c>
      <c r="AK36" s="19975"/>
      <c r="AL36" s="19975"/>
      <c r="AM36" s="19975"/>
      <c r="AN36" s="19975"/>
      <c r="AO36" s="19975"/>
      <c r="AP36" s="19975"/>
      <c r="AQ36" s="19975" t="s">
        <v>414</v>
      </c>
      <c r="AR36" s="19975"/>
      <c r="AS36" s="19975"/>
      <c r="AT36" s="19975"/>
      <c r="AU36" s="19975"/>
      <c r="AV36" s="19975"/>
      <c r="AW36" s="19975"/>
      <c r="AX36" s="19975" t="s">
        <v>414</v>
      </c>
      <c r="AY36" s="19975"/>
      <c r="AZ36" s="19975"/>
      <c r="BA36" s="19975"/>
      <c r="BB36" s="19975"/>
      <c r="BC36" s="19975"/>
      <c r="BD36" s="19975"/>
      <c r="BE36" s="2468"/>
      <c r="BF36" s="2468"/>
      <c r="BL36" s="1496"/>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19976" t="s">
        <v>541</v>
      </c>
      <c r="AK37" s="19977"/>
      <c r="AL37" s="19977"/>
      <c r="AM37" s="19977"/>
      <c r="AN37" s="19977"/>
      <c r="AO37" s="19978"/>
      <c r="AP37" s="19979" t="s">
        <v>542</v>
      </c>
      <c r="AQ37" s="19976" t="s">
        <v>541</v>
      </c>
      <c r="AR37" s="19977"/>
      <c r="AS37" s="19977"/>
      <c r="AT37" s="19977"/>
      <c r="AU37" s="19977"/>
      <c r="AV37" s="19978"/>
      <c r="AW37" s="19979" t="s">
        <v>542</v>
      </c>
      <c r="AX37" s="19976" t="s">
        <v>541</v>
      </c>
      <c r="AY37" s="19977"/>
      <c r="AZ37" s="19977"/>
      <c r="BA37" s="19977"/>
      <c r="BB37" s="19977"/>
      <c r="BC37" s="19978"/>
      <c r="BD37" s="19979" t="s">
        <v>542</v>
      </c>
      <c r="BE37" s="2621" t="s">
        <v>544</v>
      </c>
      <c r="BF37" s="2468"/>
      <c r="BL37" s="1496">
        <v>14</v>
      </c>
    </row>
    <row customHeight="1" ht="35.699999999999996">
      <c r="Q38" s="717"/>
      <c r="R38" s="717"/>
      <c r="S38" s="2614"/>
      <c r="T38" s="2550"/>
      <c r="U38" s="1372"/>
      <c r="V38" s="1793" t="s">
        <v>600</v>
      </c>
      <c r="W38" s="2603" t="s">
        <v>547</v>
      </c>
      <c r="X38" s="2604"/>
      <c r="Y38" s="2603" t="s">
        <v>548</v>
      </c>
      <c r="Z38" s="2610"/>
      <c r="AA38" s="2604"/>
      <c r="AB38" s="2619"/>
      <c r="AC38" s="1793" t="s">
        <v>600</v>
      </c>
      <c r="AD38" s="2603" t="s">
        <v>547</v>
      </c>
      <c r="AE38" s="2604"/>
      <c r="AF38" s="2603" t="s">
        <v>548</v>
      </c>
      <c r="AG38" s="2610"/>
      <c r="AH38" s="2604"/>
      <c r="AI38" s="2619"/>
      <c r="AJ38" s="19981" t="s">
        <v>600</v>
      </c>
      <c r="AK38" s="19982" t="s">
        <v>547</v>
      </c>
      <c r="AL38" s="19983"/>
      <c r="AM38" s="19982" t="s">
        <v>548</v>
      </c>
      <c r="AN38" s="19984"/>
      <c r="AO38" s="19983"/>
      <c r="AP38" s="19985"/>
      <c r="AQ38" s="19981" t="s">
        <v>600</v>
      </c>
      <c r="AR38" s="19982" t="s">
        <v>547</v>
      </c>
      <c r="AS38" s="19983"/>
      <c r="AT38" s="19982" t="s">
        <v>548</v>
      </c>
      <c r="AU38" s="19984"/>
      <c r="AV38" s="19983"/>
      <c r="AW38" s="19985"/>
      <c r="AX38" s="19981" t="s">
        <v>600</v>
      </c>
      <c r="AY38" s="19982" t="s">
        <v>547</v>
      </c>
      <c r="AZ38" s="19983"/>
      <c r="BA38" s="19982" t="s">
        <v>548</v>
      </c>
      <c r="BB38" s="19984"/>
      <c r="BC38" s="19983"/>
      <c r="BD38" s="19985"/>
      <c r="BE38" s="2622"/>
      <c r="BF38" s="2468"/>
      <c r="BL38" s="1496">
        <v>34</v>
      </c>
    </row>
    <row customHeight="1" ht="35.699999999999996">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793" t="s">
        <v>603</v>
      </c>
      <c r="W39" s="1563" t="s">
        <v>604</v>
      </c>
      <c r="X39" s="1563" t="s">
        <v>605</v>
      </c>
      <c r="Y39" s="1796" t="s">
        <v>558</v>
      </c>
      <c r="Z39" s="2611" t="s">
        <v>559</v>
      </c>
      <c r="AA39" s="2612"/>
      <c r="AB39" s="2620"/>
      <c r="AC39" s="1793" t="s">
        <v>603</v>
      </c>
      <c r="AD39" s="1563" t="s">
        <v>604</v>
      </c>
      <c r="AE39" s="1563" t="s">
        <v>605</v>
      </c>
      <c r="AF39" s="1796" t="s">
        <v>558</v>
      </c>
      <c r="AG39" s="2611" t="s">
        <v>559</v>
      </c>
      <c r="AH39" s="2612"/>
      <c r="AI39" s="2620"/>
      <c r="AJ39" s="19981" t="s">
        <v>603</v>
      </c>
      <c r="AK39" s="19987" t="s">
        <v>604</v>
      </c>
      <c r="AL39" s="19987" t="s">
        <v>605</v>
      </c>
      <c r="AM39" s="19987" t="s">
        <v>558</v>
      </c>
      <c r="AN39" s="19988" t="s">
        <v>559</v>
      </c>
      <c r="AO39" s="19989"/>
      <c r="AP39" s="19990"/>
      <c r="AQ39" s="19981" t="s">
        <v>603</v>
      </c>
      <c r="AR39" s="19987" t="s">
        <v>604</v>
      </c>
      <c r="AS39" s="19987" t="s">
        <v>605</v>
      </c>
      <c r="AT39" s="19987" t="s">
        <v>558</v>
      </c>
      <c r="AU39" s="19988" t="s">
        <v>559</v>
      </c>
      <c r="AV39" s="19989"/>
      <c r="AW39" s="19990"/>
      <c r="AX39" s="19981" t="s">
        <v>603</v>
      </c>
      <c r="AY39" s="19987" t="s">
        <v>604</v>
      </c>
      <c r="AZ39" s="19987" t="s">
        <v>605</v>
      </c>
      <c r="BA39" s="19987" t="s">
        <v>558</v>
      </c>
      <c r="BB39" s="19988" t="s">
        <v>559</v>
      </c>
      <c r="BC39" s="19989"/>
      <c r="BD39" s="19990"/>
      <c r="BE39" s="2623"/>
      <c r="BF39" s="2468"/>
      <c r="BL39" s="1496">
        <v>34</v>
      </c>
    </row>
    <row s="2235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9992">
        <f>OFFSET(AJ40,0,-1)+1</f>
        <v>15</v>
      </c>
      <c r="AK40" s="19992">
        <f>OFFSET(AK40,0,-1)+1</f>
        <v>16</v>
      </c>
      <c r="AL40" s="19992">
        <f>OFFSET(AL40,0,-1)+1</f>
        <v>17</v>
      </c>
      <c r="AM40" s="19992">
        <f>OFFSET(AM40,0,-1)+1</f>
        <v>18</v>
      </c>
      <c r="AN40" s="19992">
        <f>OFFSET(AN40,0,-1)+1</f>
        <v>19</v>
      </c>
      <c r="AO40" s="19992"/>
      <c r="AP40" s="19992">
        <f>OFFSET(AP40,0,-2)+1</f>
        <v>20</v>
      </c>
      <c r="AQ40" s="19992">
        <f>OFFSET(AQ40,0,-1)+1</f>
        <v>21</v>
      </c>
      <c r="AR40" s="19992">
        <f>OFFSET(AR40,0,-1)+1</f>
        <v>22</v>
      </c>
      <c r="AS40" s="19992">
        <f>OFFSET(AS40,0,-1)+1</f>
        <v>23</v>
      </c>
      <c r="AT40" s="19992">
        <f>OFFSET(AT40,0,-1)+1</f>
        <v>24</v>
      </c>
      <c r="AU40" s="19992">
        <f>OFFSET(AU40,0,-1)+1</f>
        <v>25</v>
      </c>
      <c r="AV40" s="19992"/>
      <c r="AW40" s="19992">
        <f>OFFSET(AW40,0,-2)+1</f>
        <v>26</v>
      </c>
      <c r="AX40" s="19992">
        <f>OFFSET(AX40,0,-1)+1</f>
        <v>27</v>
      </c>
      <c r="AY40" s="19992">
        <f>OFFSET(AY40,0,-1)+1</f>
        <v>28</v>
      </c>
      <c r="AZ40" s="19992">
        <f>OFFSET(AZ40,0,-1)+1</f>
        <v>29</v>
      </c>
      <c r="BA40" s="19992">
        <f>OFFSET(BA40,0,-1)+1</f>
        <v>30</v>
      </c>
      <c r="BB40" s="19992">
        <f>OFFSET(BB40,0,-1)+1</f>
        <v>31</v>
      </c>
      <c r="BC40" s="19992"/>
      <c r="BD40" s="19992">
        <f>OFFSET(BD40,0,-2)+1</f>
        <v>32</v>
      </c>
      <c r="BE40" s="1586">
        <f>OFFSET(BE40,0,-1)</f>
        <v>32</v>
      </c>
      <c r="BF40" s="1792">
        <f>OFFSET(BF40,0,-1)+1</f>
        <v>33</v>
      </c>
      <c r="BG40" s="852"/>
      <c r="BH40" s="852"/>
      <c r="BI40" s="852"/>
      <c r="BJ40" s="852"/>
      <c r="BK40" s="852"/>
      <c r="BL40" s="837">
        <v>0</v>
      </c>
    </row>
    <row customHeight="1" ht="24">
      <c r="A41" s="1704" t="s">
        <v>345</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1</v>
      </c>
      <c r="T41" s="639" t="s">
        <v>164</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16815"/>
      <c r="AK41" s="16816"/>
      <c r="AL41" s="16816"/>
      <c r="AM41" s="16816"/>
      <c r="AN41" s="16816"/>
      <c r="AO41" s="16816"/>
      <c r="AP41" s="16817"/>
      <c r="AQ41" s="16815"/>
      <c r="AR41" s="16816"/>
      <c r="AS41" s="16816"/>
      <c r="AT41" s="16816"/>
      <c r="AU41" s="16816"/>
      <c r="AV41" s="16816"/>
      <c r="AW41" s="16817"/>
      <c r="AX41" s="16815"/>
      <c r="AY41" s="16816"/>
      <c r="AZ41" s="16816"/>
      <c r="BA41" s="16816"/>
      <c r="BB41" s="16816"/>
      <c r="BC41" s="16816"/>
      <c r="BD41" s="16817"/>
      <c r="BE41" s="2585"/>
      <c r="BF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841"/>
      <c r="BI41" s="841" t="str">
        <f>IF(T41="","",T41)</f>
        <v>Наименование тарифа</v>
      </c>
      <c r="BJ41" s="841"/>
      <c r="BK41" s="841"/>
      <c r="BL41" s="1496">
        <v>23</v>
      </c>
    </row>
    <row customHeight="1" ht="24">
      <c r="A42" s="1704" t="s">
        <v>345</v>
      </c>
      <c r="B42" s="1704" t="s">
        <v>346</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1.1</v>
      </c>
      <c r="T42" s="649" t="s">
        <v>511</v>
      </c>
      <c r="U42" s="641"/>
      <c r="V42" s="2583"/>
      <c r="W42" s="2584"/>
      <c r="X42" s="2584"/>
      <c r="Y42" s="2584"/>
      <c r="Z42" s="2584"/>
      <c r="AA42" s="2584"/>
      <c r="AB42" s="2585"/>
      <c r="AC42" s="2583" t="str">
        <f>INDEX(PT_DIFFERENTIATION_TER,MATCH(B42,PT_DIFFERENTIATION_TER_ID,0))</f>
        <v>Территория 9</v>
      </c>
      <c r="AD42" s="2584"/>
      <c r="AE42" s="2584"/>
      <c r="AF42" s="2584"/>
      <c r="AG42" s="2584"/>
      <c r="AH42" s="2584"/>
      <c r="AI42" s="2584"/>
      <c r="AJ42" s="16815"/>
      <c r="AK42" s="16816"/>
      <c r="AL42" s="16816"/>
      <c r="AM42" s="16816"/>
      <c r="AN42" s="16816"/>
      <c r="AO42" s="16816"/>
      <c r="AP42" s="16817"/>
      <c r="AQ42" s="16815"/>
      <c r="AR42" s="16816"/>
      <c r="AS42" s="16816"/>
      <c r="AT42" s="16816"/>
      <c r="AU42" s="16816"/>
      <c r="AV42" s="16816"/>
      <c r="AW42" s="16817"/>
      <c r="AX42" s="16815"/>
      <c r="AY42" s="16816"/>
      <c r="AZ42" s="16816"/>
      <c r="BA42" s="16816"/>
      <c r="BB42" s="16816"/>
      <c r="BC42" s="16816"/>
      <c r="BD42" s="16817"/>
      <c r="BE42" s="2585"/>
      <c r="BF42" s="1599" t="s">
        <v>512</v>
      </c>
      <c r="BH42" s="841"/>
      <c r="BI42" s="841" t="str">
        <f>IF(T42="","",T42)</f>
        <v>Территория действия тарифа</v>
      </c>
      <c r="BJ42" s="841"/>
      <c r="BK42" s="841"/>
      <c r="BL42" s="1496">
        <v>23</v>
      </c>
    </row>
    <row customHeight="1" ht="24">
      <c r="A43" s="1704" t="s">
        <v>345</v>
      </c>
      <c r="B43" s="1704" t="s">
        <v>346</v>
      </c>
      <c r="C43" s="1704" t="s">
        <v>347</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1.1.1</v>
      </c>
      <c r="T43" s="650" t="s">
        <v>592</v>
      </c>
      <c r="U43" s="641"/>
      <c r="V43" s="2583"/>
      <c r="W43" s="2584"/>
      <c r="X43" s="2584"/>
      <c r="Y43" s="2584"/>
      <c r="Z43" s="2584"/>
      <c r="AA43" s="2584"/>
      <c r="AB43" s="2585"/>
      <c r="AC43" s="2583" t="str">
        <f>INDEX(PT_DIFFERENTIATION_CS,MATCH(C43,PT_DIFFERENTIATION_CS_ID,0))</f>
        <v>ГО Спасск-Дальний</v>
      </c>
      <c r="AD43" s="2584"/>
      <c r="AE43" s="2584"/>
      <c r="AF43" s="2584"/>
      <c r="AG43" s="2584"/>
      <c r="AH43" s="2584"/>
      <c r="AI43" s="2584"/>
      <c r="AJ43" s="16815"/>
      <c r="AK43" s="16816"/>
      <c r="AL43" s="16816"/>
      <c r="AM43" s="16816"/>
      <c r="AN43" s="16816"/>
      <c r="AO43" s="16816"/>
      <c r="AP43" s="16817"/>
      <c r="AQ43" s="16815"/>
      <c r="AR43" s="16816"/>
      <c r="AS43" s="16816"/>
      <c r="AT43" s="16816"/>
      <c r="AU43" s="16816"/>
      <c r="AV43" s="16816"/>
      <c r="AW43" s="16817"/>
      <c r="AX43" s="16815"/>
      <c r="AY43" s="16816"/>
      <c r="AZ43" s="16816"/>
      <c r="BA43" s="16816"/>
      <c r="BB43" s="16816"/>
      <c r="BC43" s="16816"/>
      <c r="BD43" s="16817"/>
      <c r="BE43" s="2585"/>
      <c r="BF43" s="1599" t="s">
        <v>593</v>
      </c>
      <c r="BH43" s="841"/>
      <c r="BI43" s="841" t="str">
        <f>IF(T43="","",T43)</f>
        <v>Наименование централизованной системы холодного водоснабжения</v>
      </c>
      <c r="BJ43" s="841"/>
      <c r="BK43" s="841"/>
      <c r="BL43" s="1496">
        <v>23</v>
      </c>
    </row>
    <row customHeight="1" ht="24">
      <c r="A44" s="1704" t="s">
        <v>345</v>
      </c>
      <c r="B44" s="1704" t="s">
        <v>346</v>
      </c>
      <c r="C44" s="1704" t="s">
        <v>347</v>
      </c>
      <c r="D44" s="1704" t="s">
        <v>608</v>
      </c>
      <c r="E44" s="2600"/>
      <c r="F44" s="2600"/>
      <c r="G44" s="2600"/>
      <c r="H44" s="2600"/>
      <c r="I44" s="2597" t="str">
        <f>S43&amp;".1"</f>
        <v>1.1.1.1</v>
      </c>
      <c r="J44" s="1704"/>
      <c r="K44" s="1704"/>
      <c r="L44" s="1705"/>
      <c r="P44" s="2598">
        <v>1</v>
      </c>
      <c r="Q44" s="1791"/>
      <c r="R44" s="697"/>
      <c r="S44" s="1798" t="str">
        <f>$I44</f>
        <v>1.1.1.1</v>
      </c>
      <c r="T44" s="626" t="s">
        <v>594</v>
      </c>
      <c r="U44" s="641"/>
      <c r="V44" s="2691"/>
      <c r="W44" s="2692"/>
      <c r="X44" s="2692"/>
      <c r="Y44" s="2692"/>
      <c r="Z44" s="2692"/>
      <c r="AA44" s="2692"/>
      <c r="AB44" s="2693"/>
      <c r="AC44" s="2694"/>
      <c r="AD44" s="2695"/>
      <c r="AE44" s="2695"/>
      <c r="AF44" s="2695"/>
      <c r="AG44" s="2695"/>
      <c r="AH44" s="2695"/>
      <c r="AI44" s="2695"/>
      <c r="AJ44" s="16828"/>
      <c r="AK44" s="16829"/>
      <c r="AL44" s="16829"/>
      <c r="AM44" s="16829"/>
      <c r="AN44" s="16829"/>
      <c r="AO44" s="16829"/>
      <c r="AP44" s="16830"/>
      <c r="AQ44" s="16828"/>
      <c r="AR44" s="16829"/>
      <c r="AS44" s="16829"/>
      <c r="AT44" s="16829"/>
      <c r="AU44" s="16829"/>
      <c r="AV44" s="16829"/>
      <c r="AW44" s="16830"/>
      <c r="AX44" s="16828"/>
      <c r="AY44" s="16829"/>
      <c r="AZ44" s="16829"/>
      <c r="BA44" s="16829"/>
      <c r="BB44" s="16829"/>
      <c r="BC44" s="16829"/>
      <c r="BD44" s="16830"/>
      <c r="BE44" s="2696"/>
      <c r="BF44" s="1599" t="s">
        <v>595</v>
      </c>
      <c r="BH44" s="841"/>
      <c r="BI44" s="841" t="str">
        <f>IF(T44="","",T44)</f>
        <v>Наименование признака дифференциации</v>
      </c>
      <c r="BJ44" s="841"/>
      <c r="BK44" s="841"/>
      <c r="BL44" s="1496">
        <v>23</v>
      </c>
    </row>
    <row customHeight="1" ht="24">
      <c r="A45" s="1704" t="s">
        <v>345</v>
      </c>
      <c r="B45" s="1704" t="s">
        <v>346</v>
      </c>
      <c r="C45" s="1704" t="s">
        <v>347</v>
      </c>
      <c r="D45" s="1704" t="s">
        <v>608</v>
      </c>
      <c r="E45" s="2600"/>
      <c r="F45" s="2600"/>
      <c r="G45" s="2600"/>
      <c r="H45" s="2600"/>
      <c r="I45" s="2627"/>
      <c r="J45" s="2597" t="str">
        <f>I44&amp;".1"</f>
        <v>1.1.1.1.1</v>
      </c>
      <c r="K45" s="1704"/>
      <c r="L45" s="1705" t="s">
        <v>520</v>
      </c>
      <c r="P45" s="2598"/>
      <c r="Q45" s="2598">
        <v>1</v>
      </c>
      <c r="R45" s="698"/>
      <c r="S45" s="1798" t="str">
        <f>$J45</f>
        <v>1.1.1.1.1</v>
      </c>
      <c r="T45" s="627" t="s">
        <v>521</v>
      </c>
      <c r="U45" s="641"/>
      <c r="V45" s="2586"/>
      <c r="W45" s="2587"/>
      <c r="X45" s="2587"/>
      <c r="Y45" s="2587"/>
      <c r="Z45" s="2587"/>
      <c r="AA45" s="2587"/>
      <c r="AB45" s="2588"/>
      <c r="AC45" s="2586" t="s">
        <v>607</v>
      </c>
      <c r="AD45" s="2587"/>
      <c r="AE45" s="2587"/>
      <c r="AF45" s="2587"/>
      <c r="AG45" s="2587"/>
      <c r="AH45" s="2587"/>
      <c r="AI45" s="2587"/>
      <c r="AJ45" s="16838"/>
      <c r="AK45" s="16839"/>
      <c r="AL45" s="16839"/>
      <c r="AM45" s="16839"/>
      <c r="AN45" s="16839"/>
      <c r="AO45" s="16839"/>
      <c r="AP45" s="16840"/>
      <c r="AQ45" s="16838"/>
      <c r="AR45" s="16839"/>
      <c r="AS45" s="16839"/>
      <c r="AT45" s="16839"/>
      <c r="AU45" s="16839"/>
      <c r="AV45" s="16839"/>
      <c r="AW45" s="16840"/>
      <c r="AX45" s="16838"/>
      <c r="AY45" s="16839"/>
      <c r="AZ45" s="16839"/>
      <c r="BA45" s="16839"/>
      <c r="BB45" s="16839"/>
      <c r="BC45" s="16839"/>
      <c r="BD45" s="16840"/>
      <c r="BE45" s="2588"/>
      <c r="BF45" s="1648" t="s">
        <v>596</v>
      </c>
      <c r="BH45" s="841"/>
      <c r="BI45" s="841" t="str">
        <f>IF(T45="","",T45)</f>
        <v>Группа потребителей</v>
      </c>
      <c r="BJ45" s="841"/>
      <c r="BK45" s="841"/>
      <c r="BL45" s="1496">
        <v>23</v>
      </c>
    </row>
    <row customHeight="1" ht="24">
      <c r="A46" s="1704" t="s">
        <v>345</v>
      </c>
      <c r="B46" s="1704" t="s">
        <v>346</v>
      </c>
      <c r="C46" s="1704" t="s">
        <v>347</v>
      </c>
      <c r="D46" s="1704" t="s">
        <v>608</v>
      </c>
      <c r="E46" s="2600"/>
      <c r="F46" s="2600"/>
      <c r="G46" s="2600"/>
      <c r="H46" s="2600"/>
      <c r="I46" s="2627"/>
      <c r="J46" s="2627"/>
      <c r="K46" s="2597" t="str">
        <f>J45&amp;".1"</f>
        <v>1.1.1.1.1.1</v>
      </c>
      <c r="L46" s="1705"/>
      <c r="P46" s="2598"/>
      <c r="Q46" s="2598"/>
      <c r="R46" s="698">
        <v>1</v>
      </c>
      <c r="S46" s="1798" t="str">
        <f>$K46</f>
        <v>1.1.1.1.1.1</v>
      </c>
      <c r="T46" s="1778"/>
      <c r="U46" s="641"/>
      <c r="V46" s="1092"/>
      <c r="W46" s="1092"/>
      <c r="X46" s="1598"/>
      <c r="Y46" s="2606"/>
      <c r="Z46" s="2448" t="s">
        <v>66</v>
      </c>
      <c r="AA46" s="2606"/>
      <c r="AB46" s="2448" t="s">
        <v>66</v>
      </c>
      <c r="AC46" s="1092">
        <v>19.81</v>
      </c>
      <c r="AD46" s="1092"/>
      <c r="AE46" s="1598"/>
      <c r="AF46" s="16846">
        <v>45658.65719907408</v>
      </c>
      <c r="AG46" s="2448" t="s">
        <v>66</v>
      </c>
      <c r="AH46" s="16712">
        <v>46022.65708333333</v>
      </c>
      <c r="AI46" s="2448" t="s">
        <v>66</v>
      </c>
      <c r="AJ46" s="16844">
        <v>18.88</v>
      </c>
      <c r="AK46" s="16844"/>
      <c r="AL46" s="16845"/>
      <c r="AM46" s="16846">
        <v>46023.656805555554</v>
      </c>
      <c r="AN46" s="16847" t="s">
        <v>66</v>
      </c>
      <c r="AO46" s="16846">
        <v>46387.65671296296</v>
      </c>
      <c r="AP46" s="16847" t="s">
        <v>66</v>
      </c>
      <c r="AQ46" s="16844">
        <v>19.44</v>
      </c>
      <c r="AR46" s="16844"/>
      <c r="AS46" s="16845"/>
      <c r="AT46" s="16846">
        <v>46388.65646990741</v>
      </c>
      <c r="AU46" s="16847" t="s">
        <v>66</v>
      </c>
      <c r="AV46" s="16846">
        <v>46752.65634259259</v>
      </c>
      <c r="AW46" s="16847" t="s">
        <v>66</v>
      </c>
      <c r="AX46" s="16844">
        <v>20.01</v>
      </c>
      <c r="AY46" s="16844"/>
      <c r="AZ46" s="16845"/>
      <c r="BA46" s="16846">
        <v>46753.655960648146</v>
      </c>
      <c r="BB46" s="16847" t="s">
        <v>66</v>
      </c>
      <c r="BC46" s="16846">
        <v>47118.65586805555</v>
      </c>
      <c r="BD46" s="16847" t="s">
        <v>66</v>
      </c>
      <c r="BE46" s="1779"/>
      <c r="BF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852">
        <f>STRCHECKDATE(V47:BE47)</f>
      </c>
      <c r="BH46" s="841"/>
      <c r="BI46" s="841" t="str">
        <f>IF(T46="","",T46)</f>
        <v/>
      </c>
      <c r="BJ46" s="841"/>
      <c r="BK46" s="841"/>
      <c r="BL46" s="1496">
        <v>23</v>
      </c>
    </row>
    <row customHeight="1" ht="0">
      <c r="A47" s="1704" t="s">
        <v>345</v>
      </c>
      <c r="B47" s="1704" t="s">
        <v>346</v>
      </c>
      <c r="C47" s="1704" t="s">
        <v>347</v>
      </c>
      <c r="D47" s="1704" t="s">
        <v>608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45658.65719907408-46022.65708333333</v>
      </c>
      <c r="AF47" s="2607"/>
      <c r="AG47" s="2448"/>
      <c r="AH47" s="2629"/>
      <c r="AI47" s="2448"/>
      <c r="AJ47" s="16852"/>
      <c r="AK47" s="16852"/>
      <c r="AL47" s="16716" t="str">
        <f>AM46&amp;"-"&amp;AO46</f>
        <v>46023.656805555554-46387.65671296296</v>
      </c>
      <c r="AM47" s="16853"/>
      <c r="AN47" s="16847"/>
      <c r="AO47" s="16853"/>
      <c r="AP47" s="16847"/>
      <c r="AQ47" s="16852"/>
      <c r="AR47" s="16852"/>
      <c r="AS47" s="16716" t="str">
        <f>AT46&amp;"-"&amp;AV46</f>
        <v>46388.65646990741-46752.65634259259</v>
      </c>
      <c r="AT47" s="16853"/>
      <c r="AU47" s="16847"/>
      <c r="AV47" s="16853"/>
      <c r="AW47" s="16847"/>
      <c r="AX47" s="16852"/>
      <c r="AY47" s="16852"/>
      <c r="AZ47" s="16716" t="str">
        <f>BA46&amp;"-"&amp;BC46</f>
        <v>46753.655960648146-47118.65586805555</v>
      </c>
      <c r="BA47" s="16853"/>
      <c r="BB47" s="16847"/>
      <c r="BC47" s="16853"/>
      <c r="BD47" s="16847"/>
      <c r="BE47" s="1780"/>
      <c r="BF47" s="2690"/>
      <c r="BH47" s="841"/>
      <c r="BI47" s="841" t="str">
        <f>IF(T47="","",T47)</f>
        <v/>
      </c>
      <c r="BJ47" s="841"/>
      <c r="BK47" s="841"/>
      <c r="BL47" s="1496">
        <v>0</v>
      </c>
    </row>
    <row customHeight="1" ht="21">
      <c r="A48" s="1704" t="s">
        <v>345</v>
      </c>
      <c r="B48" s="1704" t="s">
        <v>346</v>
      </c>
      <c r="C48" s="1704" t="s">
        <v>347</v>
      </c>
      <c r="D48" s="1704" t="s">
        <v>608</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19993"/>
      <c r="AK48" s="19994"/>
      <c r="AL48" s="19995"/>
      <c r="AM48" s="19996"/>
      <c r="AN48" s="19997"/>
      <c r="AO48" s="19998"/>
      <c r="AP48" s="19999"/>
      <c r="AQ48" s="20000"/>
      <c r="AR48" s="20001"/>
      <c r="AS48" s="20002"/>
      <c r="AT48" s="20003"/>
      <c r="AU48" s="20004"/>
      <c r="AV48" s="20005"/>
      <c r="AW48" s="20006"/>
      <c r="AX48" s="20007"/>
      <c r="AY48" s="20008"/>
      <c r="AZ48" s="20009"/>
      <c r="BA48" s="20010"/>
      <c r="BB48" s="20011"/>
      <c r="BC48" s="20012"/>
      <c r="BD48" s="20013"/>
      <c r="BE48" s="708"/>
      <c r="BF48" s="1599" t="s">
        <v>598</v>
      </c>
      <c r="BH48" s="841"/>
      <c r="BI48" s="841" t="str">
        <f>IF(T48="","",T48)</f>
        <v>Добавить значение признака дифференциации</v>
      </c>
      <c r="BJ48" s="841"/>
      <c r="BK48" s="841"/>
      <c r="BL48" s="1496">
        <v>20</v>
      </c>
    </row>
    <row customHeight="1" ht="22.049999999999997">
      <c r="A49" s="1704" t="s">
        <v>345</v>
      </c>
      <c r="B49" s="1704" t="s">
        <v>346</v>
      </c>
      <c r="C49" s="1704" t="s">
        <v>347</v>
      </c>
      <c r="D49" s="1704" t="s">
        <v>608</v>
      </c>
      <c r="E49" s="2600"/>
      <c r="F49" s="2600"/>
      <c r="G49" s="2600"/>
      <c r="H49" s="2600"/>
      <c r="I49" s="2597"/>
      <c r="J49" s="1704"/>
      <c r="K49" s="1704"/>
      <c r="L49" s="1705"/>
      <c r="P49" s="2598"/>
      <c r="Q49" s="1791"/>
      <c r="R49" s="697"/>
      <c r="S49" s="1619"/>
      <c r="T49" s="706" t="s">
        <v>526</v>
      </c>
      <c r="U49" s="708"/>
      <c r="V49" s="708"/>
      <c r="W49" s="708"/>
      <c r="X49" s="708"/>
      <c r="Y49" s="708"/>
      <c r="Z49" s="708"/>
      <c r="AA49" s="708"/>
      <c r="AB49" s="707"/>
      <c r="AC49" s="708"/>
      <c r="AD49" s="708"/>
      <c r="AE49" s="708"/>
      <c r="AF49" s="708"/>
      <c r="AG49" s="708"/>
      <c r="AH49" s="708"/>
      <c r="AI49" s="707"/>
      <c r="AJ49" s="20014"/>
      <c r="AK49" s="20015"/>
      <c r="AL49" s="20016"/>
      <c r="AM49" s="20017"/>
      <c r="AN49" s="20018"/>
      <c r="AO49" s="20019"/>
      <c r="AP49" s="20020"/>
      <c r="AQ49" s="20021"/>
      <c r="AR49" s="20022"/>
      <c r="AS49" s="20023"/>
      <c r="AT49" s="20024"/>
      <c r="AU49" s="20025"/>
      <c r="AV49" s="20026"/>
      <c r="AW49" s="20027"/>
      <c r="AX49" s="20028"/>
      <c r="AY49" s="20029"/>
      <c r="AZ49" s="20030"/>
      <c r="BA49" s="20031"/>
      <c r="BB49" s="20032"/>
      <c r="BC49" s="20033"/>
      <c r="BD49" s="20034"/>
      <c r="BE49" s="708"/>
      <c r="BF49" s="1781"/>
      <c r="BH49" s="841"/>
      <c r="BI49" s="841" t="str">
        <f>IF(T49="","",T49)</f>
        <v>Добавить группу потребителей</v>
      </c>
      <c r="BJ49" s="841"/>
      <c r="BK49" s="841"/>
      <c r="BL49" s="1496">
        <v>21</v>
      </c>
    </row>
    <row customHeight="1" ht="22.049999999999997">
      <c r="A50" s="1704" t="s">
        <v>345</v>
      </c>
      <c r="B50" s="1704" t="s">
        <v>346</v>
      </c>
      <c r="C50" s="1704" t="s">
        <v>347</v>
      </c>
      <c r="D50" s="1704" t="s">
        <v>608</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20035"/>
      <c r="AK50" s="20036"/>
      <c r="AL50" s="20037"/>
      <c r="AM50" s="20038"/>
      <c r="AN50" s="20039"/>
      <c r="AO50" s="20040"/>
      <c r="AP50" s="20041"/>
      <c r="AQ50" s="20042"/>
      <c r="AR50" s="20043"/>
      <c r="AS50" s="20044"/>
      <c r="AT50" s="20045"/>
      <c r="AU50" s="20046"/>
      <c r="AV50" s="20047"/>
      <c r="AW50" s="20048"/>
      <c r="AX50" s="20049"/>
      <c r="AY50" s="20050"/>
      <c r="AZ50" s="20051"/>
      <c r="BA50" s="20052"/>
      <c r="BB50" s="20053"/>
      <c r="BC50" s="20054"/>
      <c r="BD50" s="20055"/>
      <c r="BE50" s="708"/>
      <c r="BF50" s="644"/>
      <c r="BH50" s="841"/>
      <c r="BI50" s="841" t="str">
        <f>IF(T50="","",T50)</f>
        <v>Добавить наименование признака дифференциации</v>
      </c>
      <c r="BJ50" s="841"/>
      <c r="BK50" s="841"/>
      <c r="BL50" s="1496">
        <v>21</v>
      </c>
    </row>
    <row s="21688" customFormat="1" customHeight="1" ht="0">
      <c r="A51" s="1684" t="s">
        <v>345</v>
      </c>
      <c r="B51" s="1684" t="s">
        <v>346</v>
      </c>
      <c r="C51" s="1655"/>
      <c r="D51" s="1655"/>
      <c r="E51" s="2600"/>
      <c r="F51" s="2599"/>
      <c r="G51" s="1655"/>
      <c r="H51" s="1655"/>
      <c r="I51" s="1655"/>
      <c r="J51" s="1655"/>
      <c r="K51" s="1655"/>
      <c r="L51" s="1799"/>
      <c r="M51" s="1662"/>
      <c r="N51" s="1662"/>
      <c r="P51" s="1657"/>
      <c r="Q51" s="1658"/>
      <c r="R51" s="1657"/>
      <c r="S51" s="1663"/>
      <c r="T51" s="1666" t="s">
        <v>280</v>
      </c>
      <c r="U51" s="1665"/>
      <c r="V51" s="1665"/>
      <c r="W51" s="1665"/>
      <c r="X51" s="1665"/>
      <c r="Y51" s="1665"/>
      <c r="Z51" s="1665"/>
      <c r="AA51" s="1665"/>
      <c r="AB51" s="1665"/>
      <c r="AC51" s="1665"/>
      <c r="AD51" s="1665"/>
      <c r="AE51" s="1665"/>
      <c r="AF51" s="1665"/>
      <c r="AG51" s="1665"/>
      <c r="AH51" s="1665"/>
      <c r="AI51" s="1665"/>
      <c r="AJ51" s="17951"/>
      <c r="AK51" s="17951"/>
      <c r="AL51" s="17951"/>
      <c r="AM51" s="17951"/>
      <c r="AN51" s="17951"/>
      <c r="AO51" s="17951"/>
      <c r="AP51" s="17951"/>
      <c r="AQ51" s="17951"/>
      <c r="AR51" s="17951"/>
      <c r="AS51" s="17951"/>
      <c r="AT51" s="17951"/>
      <c r="AU51" s="17951"/>
      <c r="AV51" s="17951"/>
      <c r="AW51" s="17951"/>
      <c r="AX51" s="17951"/>
      <c r="AY51" s="17951"/>
      <c r="AZ51" s="17951"/>
      <c r="BA51" s="17951"/>
      <c r="BB51" s="17951"/>
      <c r="BC51" s="17951"/>
      <c r="BD51" s="17951"/>
      <c r="BE51" s="1665"/>
      <c r="BF51" s="1665"/>
      <c r="BH51" s="1130"/>
      <c r="BI51" s="1130" t="str">
        <f>IF(T51="","",T51)</f>
        <v>Добавить централизованную систему для дифференциации</v>
      </c>
      <c r="BJ51" s="1130"/>
      <c r="BK51" s="1130"/>
      <c r="BL51" s="859">
        <v>0</v>
      </c>
    </row>
    <row s="21688" customFormat="1" customHeight="1" ht="0">
      <c r="A52" s="1684" t="s">
        <v>345</v>
      </c>
      <c r="B52" s="1684"/>
      <c r="C52" s="1684"/>
      <c r="D52" s="1684"/>
      <c r="E52" s="2599"/>
      <c r="F52" s="1684"/>
      <c r="G52" s="1684"/>
      <c r="H52" s="1684"/>
      <c r="I52" s="1684"/>
      <c r="J52" s="1684"/>
      <c r="K52" s="1684"/>
      <c r="L52" s="1687"/>
      <c r="M52" s="1662"/>
      <c r="N52" s="1662"/>
      <c r="O52" s="859"/>
      <c r="P52" s="721"/>
      <c r="Q52" s="1685"/>
      <c r="R52" s="721"/>
      <c r="S52" s="1663"/>
      <c r="T52" s="1666" t="s">
        <v>339</v>
      </c>
      <c r="U52" s="1665"/>
      <c r="V52" s="1665"/>
      <c r="W52" s="1665"/>
      <c r="X52" s="1665"/>
      <c r="Y52" s="1665"/>
      <c r="Z52" s="1665"/>
      <c r="AA52" s="1665"/>
      <c r="AB52" s="1665"/>
      <c r="AC52" s="1665"/>
      <c r="AD52" s="1665"/>
      <c r="AE52" s="1665"/>
      <c r="AF52" s="1665"/>
      <c r="AG52" s="1665"/>
      <c r="AH52" s="1665"/>
      <c r="AI52" s="1665"/>
      <c r="AJ52" s="17951"/>
      <c r="AK52" s="17951"/>
      <c r="AL52" s="17951"/>
      <c r="AM52" s="17951"/>
      <c r="AN52" s="17951"/>
      <c r="AO52" s="17951"/>
      <c r="AP52" s="17951"/>
      <c r="AQ52" s="17951"/>
      <c r="AR52" s="17951"/>
      <c r="AS52" s="17951"/>
      <c r="AT52" s="17951"/>
      <c r="AU52" s="17951"/>
      <c r="AV52" s="17951"/>
      <c r="AW52" s="17951"/>
      <c r="AX52" s="17951"/>
      <c r="AY52" s="17951"/>
      <c r="AZ52" s="17951"/>
      <c r="BA52" s="17951"/>
      <c r="BB52" s="17951"/>
      <c r="BC52" s="17951"/>
      <c r="BD52" s="17951"/>
      <c r="BE52" s="1665"/>
      <c r="BF52" s="1665"/>
      <c r="BH52" s="841"/>
      <c r="BI52" s="841" t="str">
        <f>IF(T52="","",T52)</f>
        <v>Добавить территорию для дифференциации</v>
      </c>
      <c r="BJ52" s="841"/>
      <c r="BK52" s="841"/>
      <c r="BL52" s="852">
        <v>0</v>
      </c>
    </row>
    <row s="2168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340</v>
      </c>
      <c r="U53" s="1665"/>
      <c r="V53" s="1665"/>
      <c r="W53" s="1665"/>
      <c r="X53" s="1665"/>
      <c r="Y53" s="1665"/>
      <c r="Z53" s="1665"/>
      <c r="AA53" s="1665"/>
      <c r="AB53" s="1665"/>
      <c r="AC53" s="1665"/>
      <c r="AD53" s="1665"/>
      <c r="AE53" s="1665"/>
      <c r="AF53" s="1665"/>
      <c r="AG53" s="1665"/>
      <c r="AH53" s="1665"/>
      <c r="AI53" s="1665"/>
      <c r="AJ53" s="17951"/>
      <c r="AK53" s="17951"/>
      <c r="AL53" s="17951"/>
      <c r="AM53" s="17951"/>
      <c r="AN53" s="17951"/>
      <c r="AO53" s="17951"/>
      <c r="AP53" s="17951"/>
      <c r="AQ53" s="17951"/>
      <c r="AR53" s="17951"/>
      <c r="AS53" s="17951"/>
      <c r="AT53" s="17951"/>
      <c r="AU53" s="17951"/>
      <c r="AV53" s="17951"/>
      <c r="AW53" s="17951"/>
      <c r="AX53" s="17951"/>
      <c r="AY53" s="17951"/>
      <c r="AZ53" s="17951"/>
      <c r="BA53" s="17951"/>
      <c r="BB53" s="17951"/>
      <c r="BC53" s="17951"/>
      <c r="BD53" s="17951"/>
      <c r="BE53" s="1665"/>
      <c r="BF53" s="1665"/>
      <c r="BH53" s="1130"/>
      <c r="BI53" s="1130" t="str">
        <f>IF(T53="","",T53)</f>
        <v>Добавить наименование тарифа</v>
      </c>
      <c r="BJ53" s="1130"/>
      <c r="BK53" s="1130"/>
      <c r="BL53" s="859">
        <v>0</v>
      </c>
    </row>
    <row customHeight="1" ht="11.549999999999999">
      <c r="M54" s="1501"/>
      <c r="N54" s="1501"/>
      <c r="O54" s="878"/>
      <c r="P54" s="1496"/>
      <c r="Q54" s="1496"/>
      <c r="R54" s="1496"/>
      <c r="S54" s="1496"/>
      <c r="AJ54" s="16821"/>
      <c r="AK54" s="16821"/>
      <c r="AL54" s="16821"/>
      <c r="AM54" s="16821"/>
      <c r="AN54" s="16821"/>
      <c r="AO54" s="16821"/>
      <c r="AP54" s="16821"/>
      <c r="AQ54" s="16821"/>
      <c r="AR54" s="16821"/>
      <c r="AS54" s="16821"/>
      <c r="AT54" s="16821"/>
      <c r="AU54" s="16821"/>
      <c r="AV54" s="16821"/>
      <c r="AW54" s="16821"/>
      <c r="AX54" s="16821"/>
      <c r="AY54" s="16821"/>
      <c r="AZ54" s="16821"/>
      <c r="BA54" s="16821"/>
      <c r="BB54" s="16821"/>
      <c r="BC54" s="16821"/>
      <c r="BD54" s="16821"/>
      <c r="BG54" s="1496"/>
      <c r="BH54" s="1496"/>
      <c r="BI54" s="1496"/>
      <c r="BJ54" s="1496"/>
      <c r="BK54" s="1496"/>
      <c r="BL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0056"/>
      <c r="AK55" s="20056"/>
      <c r="AL55" s="20056"/>
      <c r="AM55" s="20056"/>
      <c r="AN55" s="20056"/>
      <c r="AO55" s="20056"/>
      <c r="AP55" s="20056"/>
      <c r="AQ55" s="20056"/>
      <c r="AR55" s="20056"/>
      <c r="AS55" s="20056"/>
      <c r="AT55" s="20056"/>
      <c r="AU55" s="20056"/>
      <c r="AV55" s="20056"/>
      <c r="AW55" s="20056"/>
      <c r="AX55" s="20056"/>
      <c r="AY55" s="20056"/>
      <c r="AZ55" s="20056"/>
      <c r="BA55" s="20056"/>
      <c r="BB55" s="20056"/>
      <c r="BC55" s="20056"/>
      <c r="BD55" s="20056"/>
      <c r="BE55" s="2626"/>
      <c r="BF55" s="2626"/>
      <c r="BL55" s="1496">
        <v>14</v>
      </c>
    </row>
    <row customHeight="1" ht="14.699999999999998">
      <c r="O56" s="878"/>
      <c r="AJ56" s="16821"/>
      <c r="AK56" s="16821"/>
      <c r="AL56" s="16821"/>
      <c r="AM56" s="16821"/>
      <c r="AN56" s="16821"/>
      <c r="AO56" s="16821"/>
      <c r="AP56" s="16821"/>
      <c r="AQ56" s="16821"/>
      <c r="AR56" s="16821"/>
      <c r="AS56" s="16821"/>
      <c r="AT56" s="16821"/>
      <c r="AU56" s="16821"/>
      <c r="AV56" s="16821"/>
      <c r="AW56" s="16821"/>
      <c r="AX56" s="16821"/>
      <c r="AY56" s="16821"/>
      <c r="AZ56" s="16821"/>
      <c r="BA56" s="16821"/>
      <c r="BB56" s="16821"/>
      <c r="BC56" s="16821"/>
      <c r="BD56" s="16821"/>
      <c r="BL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0056"/>
      <c r="AK57" s="20056"/>
      <c r="AL57" s="20056"/>
      <c r="AM57" s="20056"/>
      <c r="AN57" s="20056"/>
      <c r="AO57" s="20056"/>
      <c r="AP57" s="20056"/>
      <c r="AQ57" s="20056"/>
      <c r="AR57" s="20056"/>
      <c r="AS57" s="20056"/>
      <c r="AT57" s="20056"/>
      <c r="AU57" s="20056"/>
      <c r="AV57" s="20056"/>
      <c r="AW57" s="20056"/>
      <c r="AX57" s="20056"/>
      <c r="AY57" s="20056"/>
      <c r="AZ57" s="20056"/>
      <c r="BA57" s="20056"/>
      <c r="BB57" s="20056"/>
      <c r="BC57" s="20056"/>
      <c r="BD57" s="20056"/>
      <c r="BE57" s="2626"/>
      <c r="BF57" s="2626"/>
      <c r="BL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6821">
        <v>0</v>
      </c>
      <c r="AK58" s="16821">
        <v>0</v>
      </c>
      <c r="AL58" s="16821">
        <v>0</v>
      </c>
      <c r="AM58" s="16821">
        <v>0</v>
      </c>
      <c r="AN58" s="16821">
        <v>0</v>
      </c>
      <c r="AO58" s="16821">
        <v>0</v>
      </c>
      <c r="AP58" s="16821">
        <v>0</v>
      </c>
      <c r="AQ58" s="16821">
        <v>0</v>
      </c>
      <c r="AR58" s="16821">
        <v>0</v>
      </c>
      <c r="AS58" s="16821">
        <v>0</v>
      </c>
      <c r="AT58" s="16821">
        <v>0</v>
      </c>
      <c r="AU58" s="16821">
        <v>0</v>
      </c>
      <c r="AV58" s="16821">
        <v>0</v>
      </c>
      <c r="AW58" s="16821">
        <v>0</v>
      </c>
      <c r="AX58" s="16821">
        <v>0</v>
      </c>
      <c r="AY58" s="16821">
        <v>0</v>
      </c>
      <c r="AZ58" s="16821">
        <v>0</v>
      </c>
      <c r="BA58" s="16821">
        <v>0</v>
      </c>
      <c r="BB58" s="16821">
        <v>0</v>
      </c>
      <c r="BC58" s="16821">
        <v>0</v>
      </c>
      <c r="BD58" s="16821">
        <v>0</v>
      </c>
      <c r="BE58" s="1496">
        <v>4</v>
      </c>
      <c r="BF58" s="1496">
        <v>115</v>
      </c>
      <c r="BG58" s="852">
        <v>10</v>
      </c>
      <c r="BH58" s="852">
        <v>10</v>
      </c>
      <c r="BI58" s="852">
        <v>10</v>
      </c>
      <c r="BJ58" s="852">
        <v>10</v>
      </c>
      <c r="BK58" s="852">
        <v>10</v>
      </c>
      <c r="BL58" s="1496">
        <v>23</v>
      </c>
    </row>
  </sheetData>
  <sheetProtection formatColumns="0" formatRows="0" autoFilter="0" sort="0" insertRows="0" insertColumns="1" deleteRows="0" deleteColumns="0"/>
  <mergeCells count="164">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K46:K47"/>
    <mergeCell ref="Y46:Y47"/>
    <mergeCell ref="E2:E13"/>
    <mergeCell ref="V2:AB2"/>
    <mergeCell ref="AC2:BE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F7:BF8"/>
    <mergeCell ref="AF15:AF16"/>
    <mergeCell ref="AG15:AG16"/>
    <mergeCell ref="AH15:AH16"/>
    <mergeCell ref="AI15:AI16"/>
    <mergeCell ref="Z46:Z47"/>
    <mergeCell ref="AC45:BE45"/>
    <mergeCell ref="AA46:AA47"/>
    <mergeCell ref="AB46:AB47"/>
    <mergeCell ref="AF46:AF47"/>
    <mergeCell ref="BF46:BF47"/>
    <mergeCell ref="S29:T29"/>
    <mergeCell ref="F3:F12"/>
    <mergeCell ref="V3:AB3"/>
    <mergeCell ref="AC3:BE3"/>
    <mergeCell ref="G4:G11"/>
    <mergeCell ref="V4:AB4"/>
    <mergeCell ref="AC4:BE4"/>
    <mergeCell ref="H5:H11"/>
    <mergeCell ref="I5:I10"/>
    <mergeCell ref="P5:P10"/>
    <mergeCell ref="V5:AB5"/>
    <mergeCell ref="AC5:BE5"/>
    <mergeCell ref="J6:J9"/>
    <mergeCell ref="Q6:Q9"/>
    <mergeCell ref="K7:K8"/>
    <mergeCell ref="Y7:Y8"/>
    <mergeCell ref="V6:AB6"/>
    <mergeCell ref="AC6:BE6"/>
    <mergeCell ref="AC28:AH28"/>
    <mergeCell ref="Z7:Z8"/>
    <mergeCell ref="AA7:AA8"/>
    <mergeCell ref="AB7:AB8"/>
    <mergeCell ref="AF7:AF8"/>
    <mergeCell ref="T55:BF55"/>
    <mergeCell ref="T57:BF57"/>
    <mergeCell ref="V35:AB35"/>
    <mergeCell ref="S32:T32"/>
    <mergeCell ref="V32:AA32"/>
    <mergeCell ref="AC32:AH32"/>
    <mergeCell ref="S33:T33"/>
    <mergeCell ref="V33:AA33"/>
    <mergeCell ref="AC33:AH33"/>
    <mergeCell ref="AC35:AI35"/>
    <mergeCell ref="Z40:AA40"/>
    <mergeCell ref="AG40:AH40"/>
    <mergeCell ref="S36:BE36"/>
    <mergeCell ref="BF36:BF39"/>
    <mergeCell ref="S37:S39"/>
    <mergeCell ref="T37:T39"/>
    <mergeCell ref="V37:AA37"/>
    <mergeCell ref="AB37:AB39"/>
    <mergeCell ref="AG46:AG47"/>
    <mergeCell ref="AH46:AH47"/>
    <mergeCell ref="AI46:AI47"/>
    <mergeCell ref="BE37:BE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AI524330:BD524330 AI196650:BD196650 AI589866:BD589866 AI655402:BD655402 AI15 AI720938:BD720938 AI786474:BD786474 AI852010:BD852010 AI917546:BD917546 AI983082:BD983082 AI65578:BD65578 AI131114:BD131114 AI458794:BD458794 AI262186:BD262186 AG46 AI7 AN7 AP7 AU7 AW7 BB7 BD7 Z46 AB46 AG15 AG7 Z7 AB7 AI327722:BD327722 AI393258:BD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44:AI44 BE44 AC5:AI5 BE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A4F2E-4DD1-48B8-7B75-3C666EC0754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29" style="21605" width="24.7109375" customWidth="1"/>
    <col min="30" max="31" style="21605" width="24.00390625" customWidth="1"/>
    <col min="32" max="32" style="21605" width="11.00390625" customWidth="1"/>
    <col min="33" max="33" style="21605" width="3.7109375" customWidth="1"/>
    <col min="34" max="34" style="21605" width="11.00390625" customWidth="1"/>
    <col min="35" max="35" style="21605" width="8.57421875" hidden="1" customWidth="1"/>
    <col min="36" max="36" style="21605" width="4.00390625" customWidth="1"/>
    <col min="37" max="37" style="21605" width="115.00390625" customWidth="1"/>
    <col min="38" max="42" style="21688" width="10.00390625" customWidth="1"/>
    <col min="43" max="43" style="21605"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512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592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594</v>
      </c>
      <c r="U5" s="641"/>
      <c r="V5" s="2691"/>
      <c r="W5" s="2692"/>
      <c r="X5" s="2692"/>
      <c r="Y5" s="2692"/>
      <c r="Z5" s="2692"/>
      <c r="AA5" s="2692"/>
      <c r="AB5" s="2693"/>
      <c r="AC5" s="2694"/>
      <c r="AD5" s="2695"/>
      <c r="AE5" s="2695"/>
      <c r="AF5" s="2695"/>
      <c r="AG5" s="2695"/>
      <c r="AH5" s="2695"/>
      <c r="AI5" s="2695"/>
      <c r="AJ5" s="2696"/>
      <c r="AK5" s="1599" t="s">
        <v>595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520</v>
      </c>
      <c r="P6" s="2598"/>
      <c r="Q6" s="2598">
        <v>1</v>
      </c>
      <c r="R6" s="698"/>
      <c r="S6" s="1798">
        <f>$J6</f>
      </c>
      <c r="T6" s="627" t="s">
        <v>521</v>
      </c>
      <c r="U6" s="641"/>
      <c r="V6" s="2586"/>
      <c r="W6" s="2587"/>
      <c r="X6" s="2587"/>
      <c r="Y6" s="2587"/>
      <c r="Z6" s="2587"/>
      <c r="AA6" s="2587"/>
      <c r="AB6" s="2588"/>
      <c r="AC6" s="2586"/>
      <c r="AD6" s="2587"/>
      <c r="AE6" s="2587"/>
      <c r="AF6" s="2587"/>
      <c r="AG6" s="2587"/>
      <c r="AH6" s="2587"/>
      <c r="AI6" s="2587"/>
      <c r="AJ6" s="2588"/>
      <c r="AK6" s="1648" t="s">
        <v>596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708"/>
      <c r="AK9" s="1599" t="s">
        <v>598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526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68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687" customFormat="1" customHeight="1" ht="22.5" hidden="1">
      <c r="L18" s="1788"/>
      <c r="M18" s="1703"/>
      <c r="N18" s="1703"/>
      <c r="O18" s="1708" t="s">
        <v>529</v>
      </c>
      <c r="P18" s="1703"/>
      <c r="Q18" s="1712"/>
      <c r="R18" s="1712"/>
      <c r="S18" s="1070"/>
      <c r="Y18" s="1708"/>
      <c r="AA18" s="1708"/>
      <c r="AB18" s="1707"/>
      <c r="AF18" s="1708"/>
      <c r="AH18" s="1708"/>
      <c r="AI18" s="1707"/>
      <c r="AL18" s="852"/>
      <c r="AM18" s="852"/>
      <c r="AN18" s="852"/>
      <c r="AO18" s="852"/>
      <c r="AP18" s="852"/>
      <c r="AQ18" s="1501">
        <v>0</v>
      </c>
    </row>
    <row s="21687" customFormat="1" customHeight="1" ht="14.25" hidden="1">
      <c r="L19" s="1788"/>
      <c r="M19" s="1703"/>
      <c r="N19" s="1703"/>
      <c r="O19" s="1703"/>
      <c r="P19" s="1703"/>
      <c r="Q19" s="1712"/>
      <c r="R19" s="1712"/>
      <c r="S19" s="1070"/>
      <c r="AB19" s="1707"/>
      <c r="AI19" s="1707"/>
      <c r="AL19" s="852"/>
      <c r="AM19" s="852"/>
      <c r="AN19" s="852"/>
      <c r="AO19" s="852"/>
      <c r="AP19" s="852"/>
      <c r="AQ19" s="1501">
        <v>0</v>
      </c>
    </row>
    <row s="21687" customFormat="1" customHeight="1" ht="12" hidden="1">
      <c r="L20" s="1788"/>
      <c r="M20" s="1703"/>
      <c r="N20" s="1703"/>
      <c r="O20" s="1705" t="s">
        <v>530</v>
      </c>
      <c r="P20" s="1703"/>
      <c r="Q20" s="1783"/>
      <c r="R20" s="1783"/>
      <c r="S20" s="1070"/>
      <c r="T20" s="1501" t="s">
        <v>531</v>
      </c>
      <c r="Z20" s="527" t="s">
        <v>532</v>
      </c>
      <c r="AB20" s="527" t="s">
        <v>533</v>
      </c>
      <c r="AC20" s="1501" t="s">
        <v>531</v>
      </c>
      <c r="AG20" s="527" t="s">
        <v>534</v>
      </c>
      <c r="AI20" s="527" t="s">
        <v>533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667"/>
      <c r="AK28" s="621"/>
      <c r="AL28" s="709"/>
      <c r="AM28" s="709"/>
      <c r="AN28" s="709"/>
      <c r="AO28" s="709"/>
      <c r="AP28" s="709"/>
      <c r="AQ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667"/>
      <c r="AK29" s="621"/>
      <c r="AL29" s="709"/>
      <c r="AM29" s="709"/>
      <c r="AN29" s="709"/>
      <c r="AO29" s="709"/>
      <c r="AP29" s="709"/>
      <c r="AQ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667"/>
      <c r="AK32" s="621"/>
      <c r="AL32" s="709"/>
      <c r="AM32" s="709"/>
      <c r="AN32" s="709"/>
      <c r="AO32" s="709"/>
      <c r="AP32" s="709"/>
      <c r="AQ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667"/>
      <c r="AK33" s="621"/>
      <c r="AL33" s="709"/>
      <c r="AM33" s="709"/>
      <c r="AN33" s="709"/>
      <c r="AO33" s="709"/>
      <c r="AP33" s="709"/>
      <c r="AQ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539</v>
      </c>
      <c r="AC34" s="667"/>
      <c r="AD34" s="667"/>
      <c r="AE34" s="667"/>
      <c r="AF34" s="667"/>
      <c r="AG34" s="667"/>
      <c r="AH34" s="667"/>
      <c r="AI34" s="619" t="s">
        <v>539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t="s">
        <v>415</v>
      </c>
      <c r="AQ36" s="1496">
        <v>14</v>
      </c>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2621" t="s">
        <v>544</v>
      </c>
      <c r="AK37" s="2468"/>
      <c r="AQ37" s="1496">
        <v>14</v>
      </c>
    </row>
    <row customHeight="1" ht="35.699999999999996">
      <c r="Q38" s="717"/>
      <c r="R38" s="717"/>
      <c r="S38" s="2614"/>
      <c r="T38" s="2550"/>
      <c r="U38" s="1372"/>
      <c r="V38" s="1793" t="s">
        <v>600</v>
      </c>
      <c r="W38" s="2603" t="s">
        <v>547</v>
      </c>
      <c r="X38" s="2604"/>
      <c r="Y38" s="2603" t="s">
        <v>548</v>
      </c>
      <c r="Z38" s="2610"/>
      <c r="AA38" s="2604"/>
      <c r="AB38" s="2619"/>
      <c r="AC38" s="1793" t="s">
        <v>600</v>
      </c>
      <c r="AD38" s="2603" t="s">
        <v>547</v>
      </c>
      <c r="AE38" s="2604"/>
      <c r="AF38" s="2603" t="s">
        <v>548</v>
      </c>
      <c r="AG38" s="2610"/>
      <c r="AH38" s="2604"/>
      <c r="AI38" s="2619"/>
      <c r="AJ38" s="2622"/>
      <c r="AK38" s="2468"/>
      <c r="AQ38" s="1496">
        <v>34</v>
      </c>
    </row>
    <row customHeight="1" ht="35.699999999999996">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793" t="s">
        <v>603</v>
      </c>
      <c r="W39" s="1563" t="s">
        <v>604</v>
      </c>
      <c r="X39" s="1563" t="s">
        <v>605</v>
      </c>
      <c r="Y39" s="1796" t="s">
        <v>558</v>
      </c>
      <c r="Z39" s="2611" t="s">
        <v>559</v>
      </c>
      <c r="AA39" s="2612"/>
      <c r="AB39" s="2620"/>
      <c r="AC39" s="1793" t="s">
        <v>603</v>
      </c>
      <c r="AD39" s="1563" t="s">
        <v>604</v>
      </c>
      <c r="AE39" s="1563" t="s">
        <v>605</v>
      </c>
      <c r="AF39" s="1796" t="s">
        <v>558</v>
      </c>
      <c r="AG39" s="2611" t="s">
        <v>559</v>
      </c>
      <c r="AH39" s="2612"/>
      <c r="AI39" s="2620"/>
      <c r="AJ39" s="2623"/>
      <c r="AK39" s="2468"/>
      <c r="AQ39" s="1496">
        <v>34</v>
      </c>
    </row>
    <row s="2235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350</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164</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350</v>
      </c>
      <c r="B42" s="1704" t="s">
        <v>351</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511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512</v>
      </c>
      <c r="AM42" s="841"/>
      <c r="AN42" s="841" t="str">
        <f>IF(T42="","",T42)</f>
        <v>Территория действия тарифа</v>
      </c>
      <c r="AO42" s="841"/>
      <c r="AP42" s="841"/>
      <c r="AQ42" s="1496">
        <v>23</v>
      </c>
    </row>
    <row customHeight="1" ht="24">
      <c r="A43" s="1704" t="s">
        <v>350</v>
      </c>
      <c r="B43" s="1704" t="s">
        <v>351</v>
      </c>
      <c r="C43" s="1704" t="s">
        <v>352</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592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593</v>
      </c>
      <c r="AM43" s="841"/>
      <c r="AN43" s="841" t="str">
        <f>IF(T43="","",T43)</f>
        <v>Наименование централизованной системы холодного водоснабжения</v>
      </c>
      <c r="AO43" s="841"/>
      <c r="AP43" s="841"/>
      <c r="AQ43" s="1496">
        <v>23</v>
      </c>
    </row>
    <row customHeight="1" ht="24">
      <c r="A44" s="1704" t="s">
        <v>350</v>
      </c>
      <c r="B44" s="1704" t="s">
        <v>351</v>
      </c>
      <c r="C44" s="1704" t="s">
        <v>352</v>
      </c>
      <c r="D44" s="1704" t="s">
        <v>609</v>
      </c>
      <c r="E44" s="2600"/>
      <c r="F44" s="2600"/>
      <c r="G44" s="2600"/>
      <c r="H44" s="2600"/>
      <c r="I44" s="2597" t="str">
        <f>S43&amp;".1"</f>
        <v>...1</v>
      </c>
      <c r="J44" s="1704"/>
      <c r="K44" s="1704"/>
      <c r="L44" s="1705"/>
      <c r="P44" s="2598">
        <v>1</v>
      </c>
      <c r="Q44" s="1791"/>
      <c r="R44" s="697"/>
      <c r="S44" s="1798" t="str">
        <f>$I44</f>
        <v>...1</v>
      </c>
      <c r="T44" s="626" t="s">
        <v>594</v>
      </c>
      <c r="U44" s="641"/>
      <c r="V44" s="2691"/>
      <c r="W44" s="2692"/>
      <c r="X44" s="2692"/>
      <c r="Y44" s="2692"/>
      <c r="Z44" s="2692"/>
      <c r="AA44" s="2692"/>
      <c r="AB44" s="2693"/>
      <c r="AC44" s="2694"/>
      <c r="AD44" s="2695"/>
      <c r="AE44" s="2695"/>
      <c r="AF44" s="2695"/>
      <c r="AG44" s="2695"/>
      <c r="AH44" s="2695"/>
      <c r="AI44" s="2695"/>
      <c r="AJ44" s="2696"/>
      <c r="AK44" s="1599" t="s">
        <v>595</v>
      </c>
      <c r="AM44" s="841"/>
      <c r="AN44" s="841" t="str">
        <f>IF(T44="","",T44)</f>
        <v>Наименование признака дифференциации</v>
      </c>
      <c r="AO44" s="841"/>
      <c r="AP44" s="841"/>
      <c r="AQ44" s="1496">
        <v>23</v>
      </c>
    </row>
    <row customHeight="1" ht="24">
      <c r="A45" s="1704" t="s">
        <v>350</v>
      </c>
      <c r="B45" s="1704" t="s">
        <v>351</v>
      </c>
      <c r="C45" s="1704" t="s">
        <v>352</v>
      </c>
      <c r="D45" s="1704" t="s">
        <v>609</v>
      </c>
      <c r="E45" s="2600"/>
      <c r="F45" s="2600"/>
      <c r="G45" s="2600"/>
      <c r="H45" s="2600"/>
      <c r="I45" s="2627"/>
      <c r="J45" s="2597" t="str">
        <f>I44&amp;".1"</f>
        <v>...1.1</v>
      </c>
      <c r="K45" s="1704"/>
      <c r="L45" s="1705" t="s">
        <v>520</v>
      </c>
      <c r="P45" s="2598"/>
      <c r="Q45" s="2598">
        <v>1</v>
      </c>
      <c r="R45" s="698"/>
      <c r="S45" s="1798" t="str">
        <f>$J45</f>
        <v>...1.1</v>
      </c>
      <c r="T45" s="627" t="s">
        <v>521</v>
      </c>
      <c r="U45" s="641"/>
      <c r="V45" s="2586"/>
      <c r="W45" s="2587"/>
      <c r="X45" s="2587"/>
      <c r="Y45" s="2587"/>
      <c r="Z45" s="2587"/>
      <c r="AA45" s="2587"/>
      <c r="AB45" s="2588"/>
      <c r="AC45" s="2586"/>
      <c r="AD45" s="2587"/>
      <c r="AE45" s="2587"/>
      <c r="AF45" s="2587"/>
      <c r="AG45" s="2587"/>
      <c r="AH45" s="2587"/>
      <c r="AI45" s="2587"/>
      <c r="AJ45" s="2588"/>
      <c r="AK45" s="1648" t="s">
        <v>596</v>
      </c>
      <c r="AM45" s="841"/>
      <c r="AN45" s="841" t="str">
        <f>IF(T45="","",T45)</f>
        <v>Группа потребителей</v>
      </c>
      <c r="AO45" s="841"/>
      <c r="AP45" s="841"/>
      <c r="AQ45" s="1496">
        <v>23</v>
      </c>
    </row>
    <row customHeight="1" ht="24">
      <c r="A46" s="1704" t="s">
        <v>350</v>
      </c>
      <c r="B46" s="1704" t="s">
        <v>351</v>
      </c>
      <c r="C46" s="1704" t="s">
        <v>352</v>
      </c>
      <c r="D46" s="1704" t="s">
        <v>609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350</v>
      </c>
      <c r="B47" s="1704" t="s">
        <v>351</v>
      </c>
      <c r="C47" s="1704" t="s">
        <v>352</v>
      </c>
      <c r="D47" s="1704" t="s">
        <v>609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350</v>
      </c>
      <c r="B48" s="1704" t="s">
        <v>351</v>
      </c>
      <c r="C48" s="1704" t="s">
        <v>352</v>
      </c>
      <c r="D48" s="1704" t="s">
        <v>609</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708"/>
      <c r="AK48" s="1599" t="s">
        <v>598</v>
      </c>
      <c r="AM48" s="841"/>
      <c r="AN48" s="841" t="str">
        <f>IF(T48="","",T48)</f>
        <v>Добавить значение признака дифференциации</v>
      </c>
      <c r="AO48" s="841"/>
      <c r="AP48" s="841"/>
      <c r="AQ48" s="1496">
        <v>20</v>
      </c>
    </row>
    <row customHeight="1" ht="22.049999999999997">
      <c r="A49" s="1704" t="s">
        <v>350</v>
      </c>
      <c r="B49" s="1704" t="s">
        <v>351</v>
      </c>
      <c r="C49" s="1704" t="s">
        <v>352</v>
      </c>
      <c r="D49" s="1704" t="s">
        <v>609</v>
      </c>
      <c r="E49" s="2600"/>
      <c r="F49" s="2600"/>
      <c r="G49" s="2600"/>
      <c r="H49" s="2600"/>
      <c r="I49" s="2597"/>
      <c r="J49" s="1704"/>
      <c r="K49" s="1704"/>
      <c r="L49" s="1705"/>
      <c r="P49" s="2598"/>
      <c r="Q49" s="1791"/>
      <c r="R49" s="697"/>
      <c r="S49" s="1619"/>
      <c r="T49" s="706" t="s">
        <v>526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350</v>
      </c>
      <c r="B50" s="1704" t="s">
        <v>351</v>
      </c>
      <c r="C50" s="1704" t="s">
        <v>352</v>
      </c>
      <c r="D50" s="1704" t="s">
        <v>609</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688" customFormat="1" customHeight="1" ht="0">
      <c r="A51" s="1684" t="s">
        <v>350</v>
      </c>
      <c r="B51" s="1684" t="s">
        <v>351</v>
      </c>
      <c r="C51" s="1655"/>
      <c r="D51" s="1655"/>
      <c r="E51" s="2600"/>
      <c r="F51" s="2599"/>
      <c r="G51" s="1655"/>
      <c r="H51" s="1655"/>
      <c r="I51" s="1655"/>
      <c r="J51" s="1655"/>
      <c r="K51" s="1655"/>
      <c r="L51" s="1799"/>
      <c r="M51" s="1662"/>
      <c r="N51" s="1662"/>
      <c r="P51" s="1657"/>
      <c r="Q51" s="1658"/>
      <c r="R51" s="1657"/>
      <c r="S51" s="1663"/>
      <c r="T51" s="1666" t="s">
        <v>280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688" customFormat="1" customHeight="1" ht="0">
      <c r="A52" s="1684" t="s">
        <v>350</v>
      </c>
      <c r="B52" s="1684"/>
      <c r="C52" s="1684"/>
      <c r="D52" s="1684"/>
      <c r="E52" s="2599"/>
      <c r="F52" s="1684"/>
      <c r="G52" s="1684"/>
      <c r="H52" s="1684"/>
      <c r="I52" s="1684"/>
      <c r="J52" s="1684"/>
      <c r="K52" s="1684"/>
      <c r="L52" s="1687"/>
      <c r="M52" s="1662"/>
      <c r="N52" s="1662"/>
      <c r="O52" s="859"/>
      <c r="P52" s="721"/>
      <c r="Q52" s="1685"/>
      <c r="R52" s="721"/>
      <c r="S52" s="1663"/>
      <c r="T52" s="1666" t="s">
        <v>339</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68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340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C298-BDDF-91B3-0F7D-8AAE7B58AB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29" style="21605" width="24.7109375" customWidth="1"/>
    <col min="30" max="31" style="21605" width="24.00390625" customWidth="1"/>
    <col min="32" max="32" style="21605" width="11.00390625" customWidth="1"/>
    <col min="33" max="33" style="21605" width="3.7109375" customWidth="1"/>
    <col min="34" max="34" style="21605" width="11.00390625" customWidth="1"/>
    <col min="35" max="35" style="21605" width="8.57421875" hidden="1" customWidth="1"/>
    <col min="36" max="36" style="21605" width="4.00390625" customWidth="1"/>
    <col min="37" max="37" style="21605" width="115.00390625" customWidth="1"/>
    <col min="38" max="42" style="21688" width="10.00390625" customWidth="1"/>
    <col min="43" max="43" style="21605"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512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592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594</v>
      </c>
      <c r="U5" s="641"/>
      <c r="V5" s="2691"/>
      <c r="W5" s="2692"/>
      <c r="X5" s="2692"/>
      <c r="Y5" s="2692"/>
      <c r="Z5" s="2692"/>
      <c r="AA5" s="2692"/>
      <c r="AB5" s="2693"/>
      <c r="AC5" s="2694"/>
      <c r="AD5" s="2695"/>
      <c r="AE5" s="2695"/>
      <c r="AF5" s="2695"/>
      <c r="AG5" s="2695"/>
      <c r="AH5" s="2695"/>
      <c r="AI5" s="2695"/>
      <c r="AJ5" s="2696"/>
      <c r="AK5" s="1599" t="s">
        <v>595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520</v>
      </c>
      <c r="P6" s="2598"/>
      <c r="Q6" s="2598">
        <v>1</v>
      </c>
      <c r="R6" s="698"/>
      <c r="S6" s="1798">
        <f>$J6</f>
      </c>
      <c r="T6" s="627" t="s">
        <v>521</v>
      </c>
      <c r="U6" s="641"/>
      <c r="V6" s="2586"/>
      <c r="W6" s="2587"/>
      <c r="X6" s="2587"/>
      <c r="Y6" s="2587"/>
      <c r="Z6" s="2587"/>
      <c r="AA6" s="2587"/>
      <c r="AB6" s="2588"/>
      <c r="AC6" s="2586"/>
      <c r="AD6" s="2587"/>
      <c r="AE6" s="2587"/>
      <c r="AF6" s="2587"/>
      <c r="AG6" s="2587"/>
      <c r="AH6" s="2587"/>
      <c r="AI6" s="2587"/>
      <c r="AJ6" s="2588"/>
      <c r="AK6" s="1648" t="s">
        <v>596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708"/>
      <c r="AK9" s="1599" t="s">
        <v>598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526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68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687" customFormat="1" customHeight="1" ht="22.5" hidden="1">
      <c r="L18" s="1788"/>
      <c r="M18" s="1703"/>
      <c r="N18" s="1703"/>
      <c r="O18" s="1708" t="s">
        <v>529</v>
      </c>
      <c r="P18" s="1703"/>
      <c r="Q18" s="1712"/>
      <c r="R18" s="1712"/>
      <c r="S18" s="1070"/>
      <c r="Y18" s="1708"/>
      <c r="AA18" s="1708"/>
      <c r="AB18" s="1707"/>
      <c r="AF18" s="1708"/>
      <c r="AH18" s="1708"/>
      <c r="AI18" s="1707"/>
      <c r="AL18" s="852"/>
      <c r="AM18" s="852"/>
      <c r="AN18" s="852"/>
      <c r="AO18" s="852"/>
      <c r="AP18" s="852"/>
      <c r="AQ18" s="1501">
        <v>0</v>
      </c>
    </row>
    <row s="21687" customFormat="1" customHeight="1" ht="14.25" hidden="1">
      <c r="L19" s="1788"/>
      <c r="M19" s="1703"/>
      <c r="N19" s="1703"/>
      <c r="O19" s="1703"/>
      <c r="P19" s="1703"/>
      <c r="Q19" s="1712"/>
      <c r="R19" s="1712"/>
      <c r="S19" s="1070"/>
      <c r="AB19" s="1707"/>
      <c r="AI19" s="1707"/>
      <c r="AL19" s="852"/>
      <c r="AM19" s="852"/>
      <c r="AN19" s="852"/>
      <c r="AO19" s="852"/>
      <c r="AP19" s="852"/>
      <c r="AQ19" s="1501">
        <v>0</v>
      </c>
    </row>
    <row s="21687" customFormat="1" customHeight="1" ht="12" hidden="1">
      <c r="L20" s="1788"/>
      <c r="M20" s="1703"/>
      <c r="N20" s="1703"/>
      <c r="O20" s="1705" t="s">
        <v>530</v>
      </c>
      <c r="P20" s="1703"/>
      <c r="Q20" s="1783"/>
      <c r="R20" s="1783"/>
      <c r="S20" s="1070"/>
      <c r="T20" s="1501" t="s">
        <v>531</v>
      </c>
      <c r="Z20" s="527" t="s">
        <v>532</v>
      </c>
      <c r="AB20" s="527" t="s">
        <v>533</v>
      </c>
      <c r="AC20" s="1501" t="s">
        <v>531</v>
      </c>
      <c r="AG20" s="527" t="s">
        <v>534</v>
      </c>
      <c r="AI20" s="527" t="s">
        <v>533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667"/>
      <c r="AK28" s="621"/>
      <c r="AL28" s="709"/>
      <c r="AM28" s="709"/>
      <c r="AN28" s="709"/>
      <c r="AO28" s="709"/>
      <c r="AP28" s="709"/>
      <c r="AQ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667"/>
      <c r="AK29" s="621"/>
      <c r="AL29" s="709"/>
      <c r="AM29" s="709"/>
      <c r="AN29" s="709"/>
      <c r="AO29" s="709"/>
      <c r="AP29" s="709"/>
      <c r="AQ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667"/>
      <c r="AK32" s="621"/>
      <c r="AL32" s="709"/>
      <c r="AM32" s="709"/>
      <c r="AN32" s="709"/>
      <c r="AO32" s="709"/>
      <c r="AP32" s="709"/>
      <c r="AQ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667"/>
      <c r="AK33" s="621"/>
      <c r="AL33" s="709"/>
      <c r="AM33" s="709"/>
      <c r="AN33" s="709"/>
      <c r="AO33" s="709"/>
      <c r="AP33" s="709"/>
      <c r="AQ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539</v>
      </c>
      <c r="AC34" s="667"/>
      <c r="AD34" s="667"/>
      <c r="AE34" s="667"/>
      <c r="AF34" s="667"/>
      <c r="AG34" s="667"/>
      <c r="AH34" s="667"/>
      <c r="AI34" s="619" t="s">
        <v>539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t="s">
        <v>415</v>
      </c>
      <c r="AQ36" s="1496">
        <v>14</v>
      </c>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2621" t="s">
        <v>544</v>
      </c>
      <c r="AK37" s="2468"/>
      <c r="AQ37" s="1496">
        <v>14</v>
      </c>
    </row>
    <row customHeight="1" ht="35.699999999999996">
      <c r="Q38" s="717"/>
      <c r="R38" s="717"/>
      <c r="S38" s="2614"/>
      <c r="T38" s="2550"/>
      <c r="U38" s="1372"/>
      <c r="V38" s="1793" t="s">
        <v>600</v>
      </c>
      <c r="W38" s="2603" t="s">
        <v>547</v>
      </c>
      <c r="X38" s="2604"/>
      <c r="Y38" s="2603" t="s">
        <v>548</v>
      </c>
      <c r="Z38" s="2610"/>
      <c r="AA38" s="2604"/>
      <c r="AB38" s="2619"/>
      <c r="AC38" s="1793" t="s">
        <v>600</v>
      </c>
      <c r="AD38" s="2603" t="s">
        <v>547</v>
      </c>
      <c r="AE38" s="2604"/>
      <c r="AF38" s="2603" t="s">
        <v>548</v>
      </c>
      <c r="AG38" s="2610"/>
      <c r="AH38" s="2604"/>
      <c r="AI38" s="2619"/>
      <c r="AJ38" s="2622"/>
      <c r="AK38" s="2468"/>
      <c r="AQ38" s="1496">
        <v>34</v>
      </c>
    </row>
    <row customHeight="1" ht="35.699999999999996">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793" t="s">
        <v>603</v>
      </c>
      <c r="W39" s="1563" t="s">
        <v>604</v>
      </c>
      <c r="X39" s="1563" t="s">
        <v>605</v>
      </c>
      <c r="Y39" s="1796" t="s">
        <v>558</v>
      </c>
      <c r="Z39" s="2611" t="s">
        <v>559</v>
      </c>
      <c r="AA39" s="2612"/>
      <c r="AB39" s="2620"/>
      <c r="AC39" s="1793" t="s">
        <v>603</v>
      </c>
      <c r="AD39" s="1563" t="s">
        <v>604</v>
      </c>
      <c r="AE39" s="1563" t="s">
        <v>605</v>
      </c>
      <c r="AF39" s="1796" t="s">
        <v>558</v>
      </c>
      <c r="AG39" s="2611" t="s">
        <v>559</v>
      </c>
      <c r="AH39" s="2612"/>
      <c r="AI39" s="2620"/>
      <c r="AJ39" s="2623"/>
      <c r="AK39" s="2468"/>
      <c r="AQ39" s="1496">
        <v>34</v>
      </c>
    </row>
    <row s="2235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355</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164</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355</v>
      </c>
      <c r="B42" s="1704" t="s">
        <v>356</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511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512</v>
      </c>
      <c r="AM42" s="841"/>
      <c r="AN42" s="841" t="str">
        <f>IF(T42="","",T42)</f>
        <v>Территория действия тарифа</v>
      </c>
      <c r="AO42" s="841"/>
      <c r="AP42" s="841"/>
      <c r="AQ42" s="1496">
        <v>23</v>
      </c>
    </row>
    <row customHeight="1" ht="24">
      <c r="A43" s="1704" t="s">
        <v>355</v>
      </c>
      <c r="B43" s="1704" t="s">
        <v>356</v>
      </c>
      <c r="C43" s="1704" t="s">
        <v>357</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592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593</v>
      </c>
      <c r="AM43" s="841"/>
      <c r="AN43" s="841" t="str">
        <f>IF(T43="","",T43)</f>
        <v>Наименование централизованной системы холодного водоснабжения</v>
      </c>
      <c r="AO43" s="841"/>
      <c r="AP43" s="841"/>
      <c r="AQ43" s="1496">
        <v>23</v>
      </c>
    </row>
    <row customHeight="1" ht="24">
      <c r="A44" s="1704" t="s">
        <v>355</v>
      </c>
      <c r="B44" s="1704" t="s">
        <v>356</v>
      </c>
      <c r="C44" s="1704" t="s">
        <v>357</v>
      </c>
      <c r="D44" s="1704" t="s">
        <v>610</v>
      </c>
      <c r="E44" s="2600"/>
      <c r="F44" s="2600"/>
      <c r="G44" s="2600"/>
      <c r="H44" s="2600"/>
      <c r="I44" s="2597" t="str">
        <f>S43&amp;".1"</f>
        <v>...1</v>
      </c>
      <c r="J44" s="1704"/>
      <c r="K44" s="1704"/>
      <c r="L44" s="1705"/>
      <c r="P44" s="2598">
        <v>1</v>
      </c>
      <c r="Q44" s="1791"/>
      <c r="R44" s="697"/>
      <c r="S44" s="1798" t="str">
        <f>$I44</f>
        <v>...1</v>
      </c>
      <c r="T44" s="626" t="s">
        <v>594</v>
      </c>
      <c r="U44" s="641"/>
      <c r="V44" s="2691"/>
      <c r="W44" s="2692"/>
      <c r="X44" s="2692"/>
      <c r="Y44" s="2692"/>
      <c r="Z44" s="2692"/>
      <c r="AA44" s="2692"/>
      <c r="AB44" s="2693"/>
      <c r="AC44" s="2694"/>
      <c r="AD44" s="2695"/>
      <c r="AE44" s="2695"/>
      <c r="AF44" s="2695"/>
      <c r="AG44" s="2695"/>
      <c r="AH44" s="2695"/>
      <c r="AI44" s="2695"/>
      <c r="AJ44" s="2696"/>
      <c r="AK44" s="1599" t="s">
        <v>595</v>
      </c>
      <c r="AM44" s="841"/>
      <c r="AN44" s="841" t="str">
        <f>IF(T44="","",T44)</f>
        <v>Наименование признака дифференциации</v>
      </c>
      <c r="AO44" s="841"/>
      <c r="AP44" s="841"/>
      <c r="AQ44" s="1496">
        <v>23</v>
      </c>
    </row>
    <row customHeight="1" ht="24">
      <c r="A45" s="1704" t="s">
        <v>355</v>
      </c>
      <c r="B45" s="1704" t="s">
        <v>356</v>
      </c>
      <c r="C45" s="1704" t="s">
        <v>357</v>
      </c>
      <c r="D45" s="1704" t="s">
        <v>610</v>
      </c>
      <c r="E45" s="2600"/>
      <c r="F45" s="2600"/>
      <c r="G45" s="2600"/>
      <c r="H45" s="2600"/>
      <c r="I45" s="2627"/>
      <c r="J45" s="2597" t="str">
        <f>I44&amp;".1"</f>
        <v>...1.1</v>
      </c>
      <c r="K45" s="1704"/>
      <c r="L45" s="1705" t="s">
        <v>520</v>
      </c>
      <c r="P45" s="2598"/>
      <c r="Q45" s="2598">
        <v>1</v>
      </c>
      <c r="R45" s="698"/>
      <c r="S45" s="1798" t="str">
        <f>$J45</f>
        <v>...1.1</v>
      </c>
      <c r="T45" s="627" t="s">
        <v>521</v>
      </c>
      <c r="U45" s="641"/>
      <c r="V45" s="2586"/>
      <c r="W45" s="2587"/>
      <c r="X45" s="2587"/>
      <c r="Y45" s="2587"/>
      <c r="Z45" s="2587"/>
      <c r="AA45" s="2587"/>
      <c r="AB45" s="2588"/>
      <c r="AC45" s="2586"/>
      <c r="AD45" s="2587"/>
      <c r="AE45" s="2587"/>
      <c r="AF45" s="2587"/>
      <c r="AG45" s="2587"/>
      <c r="AH45" s="2587"/>
      <c r="AI45" s="2587"/>
      <c r="AJ45" s="2588"/>
      <c r="AK45" s="1648" t="s">
        <v>596</v>
      </c>
      <c r="AM45" s="841"/>
      <c r="AN45" s="841" t="str">
        <f>IF(T45="","",T45)</f>
        <v>Группа потребителей</v>
      </c>
      <c r="AO45" s="841"/>
      <c r="AP45" s="841"/>
      <c r="AQ45" s="1496">
        <v>23</v>
      </c>
    </row>
    <row customHeight="1" ht="24">
      <c r="A46" s="1704" t="s">
        <v>355</v>
      </c>
      <c r="B46" s="1704" t="s">
        <v>356</v>
      </c>
      <c r="C46" s="1704" t="s">
        <v>357</v>
      </c>
      <c r="D46" s="1704" t="s">
        <v>610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355</v>
      </c>
      <c r="B47" s="1704" t="s">
        <v>356</v>
      </c>
      <c r="C47" s="1704" t="s">
        <v>357</v>
      </c>
      <c r="D47" s="1704" t="s">
        <v>610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355</v>
      </c>
      <c r="B48" s="1704" t="s">
        <v>356</v>
      </c>
      <c r="C48" s="1704" t="s">
        <v>357</v>
      </c>
      <c r="D48" s="1704" t="s">
        <v>610</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708"/>
      <c r="AK48" s="1599" t="s">
        <v>598</v>
      </c>
      <c r="AM48" s="841"/>
      <c r="AN48" s="841" t="str">
        <f>IF(T48="","",T48)</f>
        <v>Добавить значение признака дифференциации</v>
      </c>
      <c r="AO48" s="841"/>
      <c r="AP48" s="841"/>
      <c r="AQ48" s="1496">
        <v>20</v>
      </c>
    </row>
    <row customHeight="1" ht="22.049999999999997">
      <c r="A49" s="1704" t="s">
        <v>355</v>
      </c>
      <c r="B49" s="1704" t="s">
        <v>356</v>
      </c>
      <c r="C49" s="1704" t="s">
        <v>357</v>
      </c>
      <c r="D49" s="1704" t="s">
        <v>610</v>
      </c>
      <c r="E49" s="2600"/>
      <c r="F49" s="2600"/>
      <c r="G49" s="2600"/>
      <c r="H49" s="2600"/>
      <c r="I49" s="2597"/>
      <c r="J49" s="1704"/>
      <c r="K49" s="1704"/>
      <c r="L49" s="1705"/>
      <c r="P49" s="2598"/>
      <c r="Q49" s="1791"/>
      <c r="R49" s="697"/>
      <c r="S49" s="1619"/>
      <c r="T49" s="706" t="s">
        <v>526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355</v>
      </c>
      <c r="B50" s="1704" t="s">
        <v>356</v>
      </c>
      <c r="C50" s="1704" t="s">
        <v>357</v>
      </c>
      <c r="D50" s="1704" t="s">
        <v>610</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688" customFormat="1" customHeight="1" ht="0">
      <c r="A51" s="1684" t="s">
        <v>355</v>
      </c>
      <c r="B51" s="1684" t="s">
        <v>356</v>
      </c>
      <c r="C51" s="1655"/>
      <c r="D51" s="1655"/>
      <c r="E51" s="2600"/>
      <c r="F51" s="2599"/>
      <c r="G51" s="1655"/>
      <c r="H51" s="1655"/>
      <c r="I51" s="1655"/>
      <c r="J51" s="1655"/>
      <c r="K51" s="1655"/>
      <c r="L51" s="1799"/>
      <c r="M51" s="1662"/>
      <c r="N51" s="1662"/>
      <c r="P51" s="1657"/>
      <c r="Q51" s="1658"/>
      <c r="R51" s="1657"/>
      <c r="S51" s="1663"/>
      <c r="T51" s="1666" t="s">
        <v>280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688" customFormat="1" customHeight="1" ht="0">
      <c r="A52" s="1684" t="s">
        <v>355</v>
      </c>
      <c r="B52" s="1684"/>
      <c r="C52" s="1684"/>
      <c r="D52" s="1684"/>
      <c r="E52" s="2599"/>
      <c r="F52" s="1684"/>
      <c r="G52" s="1684"/>
      <c r="H52" s="1684"/>
      <c r="I52" s="1684"/>
      <c r="J52" s="1684"/>
      <c r="K52" s="1684"/>
      <c r="L52" s="1687"/>
      <c r="M52" s="1662"/>
      <c r="N52" s="1662"/>
      <c r="O52" s="859"/>
      <c r="P52" s="721"/>
      <c r="Q52" s="1685"/>
      <c r="R52" s="721"/>
      <c r="S52" s="1663"/>
      <c r="T52" s="1666" t="s">
        <v>339</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68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340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606A3-07D9-B293-7C2E-006B113742E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1605" width="10.140625" hidden="1" customWidth="1"/>
    <col min="4" max="4" style="21605" width="11.8515625" hidden="1" customWidth="1"/>
    <col min="5" max="11" style="21605" width="10.140625" hidden="1" customWidth="1"/>
    <col min="12" max="12" style="21685" width="10.140625" hidden="1" customWidth="1"/>
    <col min="13" max="15" style="22594" width="10.140625" hidden="1" customWidth="1"/>
    <col min="16" max="16" style="22593" width="3.00390625" customWidth="1"/>
    <col min="17" max="17" style="22778" width="3.00390625" customWidth="1"/>
    <col min="18" max="18" style="22595" width="3.00390625" customWidth="1"/>
    <col min="19" max="19" style="22596" width="12.00390625" customWidth="1"/>
    <col min="20" max="20" style="21605" width="31.00390625" customWidth="1"/>
    <col min="21" max="21" style="21605" width="0.140625" customWidth="1"/>
    <col min="22" max="23" style="21605" width="21.7109375" hidden="1" customWidth="1"/>
    <col min="24" max="24" style="21605" width="11.7109375" hidden="1" customWidth="1"/>
    <col min="25" max="25" style="21605" width="3.7109375" hidden="1" customWidth="1"/>
    <col min="26" max="26" style="21605" width="11.7109375" hidden="1" customWidth="1"/>
    <col min="27" max="27" style="21605" width="8.57421875" hidden="1" customWidth="1"/>
    <col min="28" max="28" style="21605" width="27.00390625" customWidth="1"/>
    <col min="29" max="29" style="21605" width="24.57421875" customWidth="1"/>
    <col min="30" max="31" style="21605" width="21.00390625" customWidth="1"/>
    <col min="32" max="32" style="21605" width="11.00390625" customWidth="1"/>
    <col min="33" max="33" style="21605" width="3.7109375" customWidth="1"/>
    <col min="34" max="34" style="21605" width="11.00390625" customWidth="1"/>
    <col min="35" max="35" style="21605" width="8.57421875" hidden="1" customWidth="1"/>
    <col min="36" max="36" style="21605" width="4.00390625" customWidth="1"/>
    <col min="37" max="37" style="21605" width="115.00390625" customWidth="1"/>
    <col min="38" max="42" style="21688" width="10.00390625" customWidth="1"/>
    <col min="43" max="43" style="21605"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164</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510</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511</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512</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513</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514</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515</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516</v>
      </c>
      <c r="AM5" s="1965"/>
      <c r="AN5" s="1965" t="str">
        <f>IF(T5="","",T5)</f>
        <v>Источник тепловой энергии  </v>
      </c>
      <c r="AO5" s="1965"/>
      <c r="AP5" s="1965"/>
      <c r="AQ5" s="1972">
        <v>0</v>
      </c>
    </row>
    <row s="21688" customFormat="1" customHeight="1" ht="0.75" hidden="1">
      <c r="A6" s="1716"/>
      <c r="B6" s="1716"/>
      <c r="C6" s="1716"/>
      <c r="D6" s="1716"/>
      <c r="E6" s="2631"/>
      <c r="F6" s="2631"/>
      <c r="G6" s="2631"/>
      <c r="H6" s="2631"/>
      <c r="I6" s="2468">
        <f>S5&amp;".1"</f>
      </c>
      <c r="J6" s="1716"/>
      <c r="K6" s="1716"/>
      <c r="L6" s="1722" t="s">
        <v>517</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21688"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28</v>
      </c>
      <c r="AD8" s="1092"/>
      <c r="AE8" s="1598"/>
      <c r="AF8" s="2296"/>
      <c r="AG8" s="2283" t="s">
        <v>66</v>
      </c>
      <c r="AH8" s="2296"/>
      <c r="AI8" s="2283" t="s">
        <v>66</v>
      </c>
      <c r="AJ8" s="1689"/>
      <c r="AK8" s="2594" t="s">
        <v>575</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579</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21688"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21688"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21688"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528</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21688"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280</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21688"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339</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529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22749" customFormat="1" customHeight="1" ht="14.25" hidden="1">
      <c r="A20" s="2312"/>
      <c r="B20" s="2312"/>
      <c r="C20" s="2312"/>
      <c r="D20" s="2312"/>
      <c r="E20" s="2312"/>
      <c r="F20" s="2312"/>
      <c r="G20" s="2312"/>
      <c r="H20" s="2312"/>
      <c r="I20" s="2312"/>
      <c r="J20" s="2312"/>
      <c r="K20" s="2312"/>
      <c r="L20" s="2312"/>
      <c r="M20" s="2313"/>
      <c r="N20" s="2313"/>
      <c r="O20" s="2314" t="s">
        <v>530</v>
      </c>
      <c r="P20" s="1849"/>
      <c r="Q20" s="1851"/>
      <c r="R20" s="1851"/>
      <c r="Y20" s="1848" t="s">
        <v>532</v>
      </c>
      <c r="AA20" s="1848" t="s">
        <v>533</v>
      </c>
      <c r="AC20" s="1848" t="s">
        <v>581</v>
      </c>
      <c r="AG20" s="1848" t="s">
        <v>532</v>
      </c>
      <c r="AI20" s="1848" t="s">
        <v>533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21825"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21825"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535</v>
      </c>
      <c r="T28" s="2591"/>
      <c r="U28" s="1713"/>
      <c r="V28" s="2605" t="str">
        <f>IF(TITLE_DATE_PR_CHANGE="",IF(TITLE_DATE_PR="","",TITLE_DATE_PR),TITLE_DATE_PR_CHANGE)</f>
        <v>45408.52040509259</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21825"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536</v>
      </c>
      <c r="T29" s="2591"/>
      <c r="U29" s="1713"/>
      <c r="V29" s="2592" t="str">
        <f>IF(TITLE_NUMBER_PR_CHANGE="",IF(TITLE_NUMBER_PR="","",TITLE_NUMBER_PR),TITLE_NUMBER_PR_CHANGE)</f>
        <v>27-2139</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21825"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21825"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535</v>
      </c>
      <c r="T32" s="2591"/>
      <c r="U32" s="1713"/>
      <c r="V32" s="2605" t="str">
        <f>IF(TITLE_DATE_PR_CHANGE="",IF(TITLE_DATE_PR="","",TITLE_DATE_PR),TITLE_DATE_PR_CHANGE)</f>
        <v>45408.52040509259</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21825"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536</v>
      </c>
      <c r="T33" s="2591"/>
      <c r="U33" s="1713"/>
      <c r="V33" s="2592" t="str">
        <f>IF(TITLE_NUMBER_PR_CHANGE="",IF(TITLE_NUMBER_PR="","",TITLE_NUMBER_PR),TITLE_NUMBER_PR_CHANGE)</f>
        <v>27-2139</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21825"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539</v>
      </c>
      <c r="AB34" s="1983"/>
      <c r="AC34" s="1976"/>
      <c r="AD34" s="1976"/>
      <c r="AE34" s="1976"/>
      <c r="AF34" s="1976"/>
      <c r="AG34" s="1976"/>
      <c r="AH34" s="1976"/>
      <c r="AI34" s="1983" t="s">
        <v>539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414</v>
      </c>
      <c r="T36" s="2468"/>
      <c r="U36" s="2468"/>
      <c r="V36" s="2468"/>
      <c r="W36" s="2468"/>
      <c r="X36" s="2468"/>
      <c r="Y36" s="2468"/>
      <c r="Z36" s="2468"/>
      <c r="AA36" s="2516"/>
      <c r="AB36" s="2516"/>
      <c r="AC36" s="2516"/>
      <c r="AD36" s="2468"/>
      <c r="AE36" s="2468"/>
      <c r="AF36" s="2468"/>
      <c r="AG36" s="2468"/>
      <c r="AH36" s="2468"/>
      <c r="AI36" s="2468"/>
      <c r="AJ36" s="2468"/>
      <c r="AK36" s="2468" t="s">
        <v>415</v>
      </c>
      <c r="AQ36" s="1972">
        <v>14</v>
      </c>
    </row>
    <row customHeight="1" ht="14.699999999999998">
      <c r="Q37" s="632"/>
      <c r="R37" s="717"/>
      <c r="S37" s="2614" t="s">
        <v>88</v>
      </c>
      <c r="T37" s="2550" t="s">
        <v>611</v>
      </c>
      <c r="U37" s="678"/>
      <c r="V37" s="2616"/>
      <c r="W37" s="2616"/>
      <c r="X37" s="2616"/>
      <c r="Y37" s="2616"/>
      <c r="Z37" s="2616"/>
      <c r="AA37" s="2550" t="s">
        <v>542</v>
      </c>
      <c r="AB37" s="2549" t="s">
        <v>612</v>
      </c>
      <c r="AC37" s="2549" t="s">
        <v>585</v>
      </c>
      <c r="AD37" s="2632" t="s">
        <v>541</v>
      </c>
      <c r="AE37" s="2632"/>
      <c r="AF37" s="2616"/>
      <c r="AG37" s="2616"/>
      <c r="AH37" s="2617"/>
      <c r="AI37" s="2618" t="s">
        <v>542</v>
      </c>
      <c r="AJ37" s="2621" t="s">
        <v>544</v>
      </c>
      <c r="AK37" s="2468"/>
      <c r="AQ37" s="1972">
        <v>14</v>
      </c>
    </row>
    <row customHeight="1" ht="35.699999999999996">
      <c r="Q38" s="632"/>
      <c r="R38" s="717"/>
      <c r="S38" s="2614"/>
      <c r="T38" s="2550"/>
      <c r="U38" s="1372"/>
      <c r="V38" s="2444" t="s">
        <v>588</v>
      </c>
      <c r="W38" s="2468"/>
      <c r="X38" s="2635" t="s">
        <v>548</v>
      </c>
      <c r="Y38" s="2654"/>
      <c r="Z38" s="2654"/>
      <c r="AA38" s="2550"/>
      <c r="AB38" s="2549"/>
      <c r="AC38" s="2549"/>
      <c r="AD38" s="2444" t="s">
        <v>588</v>
      </c>
      <c r="AE38" s="2468"/>
      <c r="AF38" s="2654" t="s">
        <v>548</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176</v>
      </c>
      <c r="C40" s="1607" t="s">
        <v>177</v>
      </c>
      <c r="D40" s="1607" t="s">
        <v>178</v>
      </c>
      <c r="E40" s="1651" t="s">
        <v>549</v>
      </c>
      <c r="F40" s="1651" t="s">
        <v>550</v>
      </c>
      <c r="G40" s="1651" t="s">
        <v>551</v>
      </c>
      <c r="H40" s="1651" t="s">
        <v>552</v>
      </c>
      <c r="I40" s="1651" t="s">
        <v>553</v>
      </c>
      <c r="J40" s="1651" t="s">
        <v>554</v>
      </c>
      <c r="K40" s="1651" t="s">
        <v>555</v>
      </c>
      <c r="L40" s="1651" t="s">
        <v>530</v>
      </c>
      <c r="Q40" s="632"/>
      <c r="R40" s="717"/>
      <c r="S40" s="2614"/>
      <c r="T40" s="2550"/>
      <c r="U40" s="643"/>
      <c r="V40" s="2291" t="s">
        <v>589</v>
      </c>
      <c r="W40" s="2291" t="s">
        <v>590</v>
      </c>
      <c r="X40" s="2279" t="s">
        <v>558</v>
      </c>
      <c r="Y40" s="2611" t="s">
        <v>559</v>
      </c>
      <c r="Z40" s="2661"/>
      <c r="AA40" s="2550"/>
      <c r="AB40" s="2549"/>
      <c r="AC40" s="2549"/>
      <c r="AD40" s="2309" t="s">
        <v>589</v>
      </c>
      <c r="AE40" s="2300" t="s">
        <v>590</v>
      </c>
      <c r="AF40" s="2279" t="s">
        <v>558</v>
      </c>
      <c r="AG40" s="2611" t="s">
        <v>559</v>
      </c>
      <c r="AH40" s="2612"/>
      <c r="AI40" s="2620"/>
      <c r="AJ40" s="2623"/>
      <c r="AK40" s="2468"/>
      <c r="AQ40" s="1972">
        <v>14</v>
      </c>
    </row>
    <row s="22350"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145</v>
      </c>
      <c r="T41" s="1596" t="s">
        <v>103</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242</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164</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242</v>
      </c>
      <c r="B43" s="1608" t="s">
        <v>243</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511</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512</v>
      </c>
      <c r="AM43" s="1965"/>
      <c r="AN43" s="1965" t="str">
        <f>IF(T43="","",T43)</f>
        <v>Территория действия тарифа</v>
      </c>
      <c r="AO43" s="1965"/>
      <c r="AP43" s="1965"/>
      <c r="AQ43" s="1972">
        <v>21</v>
      </c>
    </row>
    <row customHeight="1" ht="24">
      <c r="A44" s="1608" t="s">
        <v>242</v>
      </c>
      <c r="B44" s="1608" t="s">
        <v>243</v>
      </c>
      <c r="C44" s="1608" t="s">
        <v>244</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513</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514</v>
      </c>
      <c r="AM44" s="1965"/>
      <c r="AN44" s="1965" t="str">
        <f>IF(T44="","",T44)</f>
        <v>Наименование системы теплоснабжения </v>
      </c>
      <c r="AO44" s="1965"/>
      <c r="AP44" s="1965"/>
      <c r="AQ44" s="1972">
        <v>23</v>
      </c>
    </row>
    <row customHeight="1" ht="22.049999999999997">
      <c r="A45" s="1608" t="s">
        <v>242</v>
      </c>
      <c r="B45" s="1608" t="s">
        <v>243</v>
      </c>
      <c r="C45" s="1608" t="s">
        <v>244</v>
      </c>
      <c r="D45" s="1608" t="s">
        <v>245</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515</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516</v>
      </c>
      <c r="AM45" s="1965"/>
      <c r="AN45" s="1965" t="str">
        <f>IF(T45="","",T45)</f>
        <v>Источник тепловой энергии  </v>
      </c>
      <c r="AO45" s="1965"/>
      <c r="AP45" s="1965"/>
      <c r="AQ45" s="1972">
        <v>21</v>
      </c>
    </row>
    <row s="21688" customFormat="1" customHeight="1" ht="0">
      <c r="A46" s="1716" t="s">
        <v>242</v>
      </c>
      <c r="B46" s="1716" t="s">
        <v>243</v>
      </c>
      <c r="C46" s="1716" t="s">
        <v>244</v>
      </c>
      <c r="D46" s="1716" t="s">
        <v>245</v>
      </c>
      <c r="E46" s="2631"/>
      <c r="F46" s="2631"/>
      <c r="G46" s="2631"/>
      <c r="H46" s="2631"/>
      <c r="I46" s="2468" t="str">
        <f>S45&amp;".1"</f>
        <v>....1</v>
      </c>
      <c r="J46" s="1716"/>
      <c r="K46" s="1716"/>
      <c r="L46" s="1722" t="s">
        <v>517</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21688" customFormat="1" customHeight="1" ht="0">
      <c r="A47" s="1716" t="s">
        <v>242</v>
      </c>
      <c r="B47" s="1716" t="s">
        <v>243</v>
      </c>
      <c r="C47" s="1716" t="s">
        <v>244</v>
      </c>
      <c r="D47" s="1716" t="s">
        <v>245</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242</v>
      </c>
      <c r="B48" s="1608" t="s">
        <v>243</v>
      </c>
      <c r="C48" s="1608" t="s">
        <v>244</v>
      </c>
      <c r="D48" s="1608" t="s">
        <v>245</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66</v>
      </c>
      <c r="Z48" s="2296"/>
      <c r="AA48" s="2283" t="s">
        <v>66</v>
      </c>
      <c r="AB48" s="2305"/>
      <c r="AC48" s="2304" t="s">
        <v>28</v>
      </c>
      <c r="AD48" s="1092"/>
      <c r="AE48" s="1598"/>
      <c r="AF48" s="2296"/>
      <c r="AG48" s="2283" t="s">
        <v>66</v>
      </c>
      <c r="AH48" s="2296"/>
      <c r="AI48" s="2283" t="s">
        <v>66</v>
      </c>
      <c r="AJ48" s="1689"/>
      <c r="AK48" s="2594" t="s">
        <v>591</v>
      </c>
      <c r="AL48" s="1977">
        <f>STRCHECKDATE(#REF!)</f>
      </c>
      <c r="AM48" s="1965"/>
      <c r="AN48" s="1965" t="str">
        <f>IF(T48="","",T48)</f>
        <v/>
      </c>
      <c r="AO48" s="1965"/>
      <c r="AP48" s="1965"/>
      <c r="AQ48" s="1972">
        <v>21</v>
      </c>
    </row>
    <row customHeight="1" ht="11.549999999999999">
      <c r="A49" s="1608" t="s">
        <v>242</v>
      </c>
      <c r="B49" s="1608" t="s">
        <v>243</v>
      </c>
      <c r="C49" s="1608" t="s">
        <v>244</v>
      </c>
      <c r="D49" s="1608" t="s">
        <v>245</v>
      </c>
      <c r="E49" s="2631"/>
      <c r="F49" s="2631"/>
      <c r="G49" s="2631"/>
      <c r="H49" s="2631"/>
      <c r="I49" s="2442"/>
      <c r="J49" s="2468"/>
      <c r="K49" s="1608"/>
      <c r="L49" s="1651"/>
      <c r="P49" s="2598"/>
      <c r="Q49" s="2598"/>
      <c r="R49" s="697"/>
      <c r="S49" s="1619"/>
      <c r="T49" s="628" t="s">
        <v>579</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21688" customFormat="1" customHeight="1" ht="1.05">
      <c r="A50" s="1716" t="s">
        <v>242</v>
      </c>
      <c r="B50" s="1716" t="s">
        <v>243</v>
      </c>
      <c r="C50" s="1716" t="s">
        <v>244</v>
      </c>
      <c r="D50" s="1716" t="s">
        <v>245</v>
      </c>
      <c r="E50" s="2631"/>
      <c r="F50" s="2631"/>
      <c r="G50" s="2631"/>
      <c r="H50" s="2631"/>
      <c r="I50" s="2468"/>
      <c r="J50" s="1716"/>
      <c r="K50" s="1716"/>
      <c r="L50" s="1722"/>
      <c r="M50" s="1587"/>
      <c r="N50" s="1587"/>
      <c r="O50" s="1587"/>
      <c r="P50" s="2598"/>
      <c r="Q50" s="2295"/>
      <c r="R50" s="697"/>
      <c r="S50" s="1727"/>
      <c r="T50" s="1728" t="s">
        <v>526</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22350" customFormat="1" customHeight="1" ht="1.05">
      <c r="A51" s="1716" t="s">
        <v>242</v>
      </c>
      <c r="B51" s="1716" t="s">
        <v>243</v>
      </c>
      <c r="C51" s="1716" t="s">
        <v>244</v>
      </c>
      <c r="D51" s="1716" t="s">
        <v>245</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21688" customFormat="1" customHeight="1" ht="1.05">
      <c r="A52" s="1716" t="s">
        <v>242</v>
      </c>
      <c r="B52" s="1716" t="s">
        <v>243</v>
      </c>
      <c r="C52" s="1716" t="s">
        <v>244</v>
      </c>
      <c r="D52" s="1715"/>
      <c r="E52" s="2631"/>
      <c r="F52" s="2631"/>
      <c r="G52" s="2630"/>
      <c r="H52" s="1715"/>
      <c r="I52" s="1715"/>
      <c r="J52" s="1715"/>
      <c r="K52" s="1715"/>
      <c r="L52" s="1718"/>
      <c r="M52" s="1719"/>
      <c r="N52" s="1719"/>
      <c r="O52" s="692"/>
      <c r="P52" s="1657"/>
      <c r="Q52" s="1658"/>
      <c r="R52" s="1657"/>
      <c r="S52" s="1663"/>
      <c r="T52" s="1666" t="s">
        <v>528</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21688" customFormat="1" customHeight="1" ht="1.05">
      <c r="A53" s="1716" t="s">
        <v>242</v>
      </c>
      <c r="B53" s="1716" t="s">
        <v>243</v>
      </c>
      <c r="C53" s="1715"/>
      <c r="D53" s="1715"/>
      <c r="E53" s="2631"/>
      <c r="F53" s="2630"/>
      <c r="G53" s="1715"/>
      <c r="H53" s="1715"/>
      <c r="I53" s="1715"/>
      <c r="J53" s="1715"/>
      <c r="K53" s="1715"/>
      <c r="L53" s="1718"/>
      <c r="M53" s="1720"/>
      <c r="N53" s="1720"/>
      <c r="O53" s="692"/>
      <c r="P53" s="1657"/>
      <c r="Q53" s="1658"/>
      <c r="R53" s="1657"/>
      <c r="S53" s="1663"/>
      <c r="T53" s="1666" t="s">
        <v>280</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21688" customFormat="1" customHeight="1" ht="1.05">
      <c r="A54" s="1716" t="s">
        <v>242</v>
      </c>
      <c r="B54" s="1716"/>
      <c r="C54" s="1716"/>
      <c r="D54" s="1716"/>
      <c r="E54" s="2631"/>
      <c r="F54" s="1716"/>
      <c r="G54" s="1716"/>
      <c r="H54" s="1716"/>
      <c r="I54" s="1716"/>
      <c r="J54" s="1716"/>
      <c r="K54" s="1716"/>
      <c r="L54" s="1722"/>
      <c r="M54" s="1720"/>
      <c r="N54" s="1720"/>
      <c r="O54" s="692"/>
      <c r="P54" s="721"/>
      <c r="Q54" s="1685"/>
      <c r="R54" s="721"/>
      <c r="S54" s="1663"/>
      <c r="T54" s="1666" t="s">
        <v>339</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21688" customFormat="1" customHeight="1" ht="1.05">
      <c r="A55" s="1716" t="s">
        <v>242</v>
      </c>
      <c r="B55" s="1716"/>
      <c r="C55" s="1716"/>
      <c r="D55" s="1716"/>
      <c r="E55" s="2630"/>
      <c r="F55" s="1716"/>
      <c r="G55" s="1716"/>
      <c r="H55" s="1716"/>
      <c r="I55" s="1716"/>
      <c r="J55" s="1716"/>
      <c r="K55" s="1716"/>
      <c r="L55" s="1722"/>
      <c r="M55" s="1720"/>
      <c r="N55" s="1720"/>
      <c r="O55" s="692"/>
      <c r="P55" s="721"/>
      <c r="Q55" s="1685"/>
      <c r="R55" s="721"/>
      <c r="S55" s="1663"/>
      <c r="T55" s="1666" t="s">
        <v>339</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21688"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340</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9F6E9-1E2D-F109-BEEE-DF327A5D4D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1687" width="11.57421875" hidden="1" customWidth="1"/>
    <col min="2" max="2" style="21687" width="11.00390625" hidden="1" customWidth="1"/>
    <col min="3" max="3" style="21687" width="10.57421875" hidden="1"/>
    <col min="4" max="4" style="21687" width="12.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3" width="3.7109375" hidden="1" customWidth="1"/>
    <col min="17" max="17" style="22778" width="3.7109375" hidden="1" customWidth="1"/>
    <col min="18" max="18" style="22595" width="3.00390625" customWidth="1"/>
    <col min="19" max="19" style="22596" width="12.00390625" customWidth="1"/>
    <col min="20" max="20" style="21605" width="31.00390625" customWidth="1"/>
    <col min="21" max="21" style="21605" width="0.140625" customWidth="1"/>
    <col min="22" max="25" style="21605" width="21.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3.7109375" customWidth="1"/>
    <col min="31" max="32" style="21605" width="3.00390625" customWidth="1"/>
    <col min="33" max="33" style="21605" width="24.00390625" customWidth="1"/>
    <col min="34" max="34" style="21605" width="3.7109375" customWidth="1"/>
    <col min="35" max="36" style="21605" width="3.00390625" customWidth="1"/>
    <col min="37" max="37" style="21605" width="24.00390625" customWidth="1"/>
    <col min="38" max="38" style="21605" width="3.7109375" customWidth="1"/>
    <col min="39" max="40" style="21605" width="3.00390625" customWidth="1"/>
    <col min="41" max="41" style="21605" width="18.00390625" customWidth="1"/>
    <col min="42" max="42" style="21605" width="3.7109375" customWidth="1"/>
    <col min="43" max="44" style="21605" width="3.00390625" customWidth="1"/>
    <col min="45" max="45" style="21605" width="18.00390625" customWidth="1"/>
    <col min="46" max="49" style="21605" width="21.00390625" customWidth="1"/>
    <col min="50" max="50" style="21605" width="11.00390625" customWidth="1"/>
    <col min="51" max="51" style="21605" width="3.7109375" customWidth="1"/>
    <col min="52" max="52" style="21605" width="11.00390625" customWidth="1"/>
    <col min="53" max="53" style="21605" width="8.57421875" hidden="1" customWidth="1"/>
    <col min="54" max="54" style="21605" width="4.00390625" customWidth="1"/>
    <col min="55" max="55" style="21605" width="115.00390625" customWidth="1"/>
    <col min="56" max="60" style="21688" width="10.00390625" customWidth="1"/>
    <col min="61" max="61" style="21605"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164</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511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512</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592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593</v>
      </c>
      <c r="BE4" s="841"/>
      <c r="BF4" s="841" t="str">
        <f>IF(T4="","",T4)</f>
        <v>Наименование централизованной системы холодного водоснабжения</v>
      </c>
      <c r="BG4" s="841"/>
      <c r="BH4" s="841"/>
      <c r="BI4" s="1496">
        <v>0</v>
      </c>
    </row>
    <row s="2168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516</v>
      </c>
      <c r="BE5" s="841"/>
      <c r="BF5" s="841" t="str">
        <f>IF(T5="","",T5)</f>
        <v/>
      </c>
      <c r="BG5" s="841"/>
      <c r="BH5" s="841"/>
      <c r="BI5" s="852">
        <v>0</v>
      </c>
    </row>
    <row s="21688" customFormat="1" customHeight="1" ht="14.25" hidden="1">
      <c r="A6" s="1684"/>
      <c r="B6" s="1684"/>
      <c r="C6" s="1684"/>
      <c r="D6" s="1684"/>
      <c r="E6" s="2600"/>
      <c r="F6" s="2600"/>
      <c r="G6" s="2600"/>
      <c r="H6" s="2600"/>
      <c r="I6" s="2597" t="str">
        <f>S5&amp;".1"</f>
        <v>.1</v>
      </c>
      <c r="J6" s="1684"/>
      <c r="K6" s="1684"/>
      <c r="L6" s="1687" t="s">
        <v>517</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68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28</v>
      </c>
      <c r="AL8" s="2448" t="s">
        <v>66</v>
      </c>
      <c r="AM8" s="2533"/>
      <c r="AN8" s="2546">
        <v>1</v>
      </c>
      <c r="AO8" s="2698"/>
      <c r="AP8" s="2699" t="s">
        <v>66</v>
      </c>
      <c r="AQ8" s="652"/>
      <c r="AR8" s="1804">
        <v>1</v>
      </c>
      <c r="AS8" s="1807" t="s">
        <v>28</v>
      </c>
      <c r="AT8" s="1092"/>
      <c r="AU8" s="1598"/>
      <c r="AV8" s="1092"/>
      <c r="AW8" s="1598"/>
      <c r="AX8" s="2075"/>
      <c r="AY8" s="1800" t="s">
        <v>66</v>
      </c>
      <c r="AZ8" s="2075"/>
      <c r="BA8" s="1800" t="s">
        <v>66</v>
      </c>
      <c r="BB8" s="1689"/>
      <c r="BC8" s="2594" t="s">
        <v>613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614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615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616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617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579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688"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68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688"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688"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280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68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339</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529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2749" customFormat="1" customHeight="1" ht="14.25" hidden="1">
      <c r="M24" s="1849"/>
      <c r="N24" s="1849"/>
      <c r="O24" s="1850" t="s">
        <v>530</v>
      </c>
      <c r="P24" s="1849"/>
      <c r="Q24" s="1851"/>
      <c r="R24" s="1851"/>
      <c r="AA24" s="1848" t="s">
        <v>532</v>
      </c>
      <c r="AC24" s="1848" t="s">
        <v>533</v>
      </c>
      <c r="AD24" s="1848" t="s">
        <v>580</v>
      </c>
      <c r="AH24" s="1848" t="s">
        <v>580</v>
      </c>
      <c r="AK24" s="1848" t="s">
        <v>618</v>
      </c>
      <c r="AL24" s="1848" t="s">
        <v>580</v>
      </c>
      <c r="AP24" s="1848" t="s">
        <v>580</v>
      </c>
      <c r="AY24" s="1848" t="s">
        <v>532</v>
      </c>
      <c r="BA24" s="1848" t="s">
        <v>533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2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2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535</v>
      </c>
      <c r="T32" s="2591"/>
      <c r="U32" s="1713"/>
      <c r="V32" s="2605" t="str">
        <f>IF(TITLE_DATE_PR_CHANGE="",IF(TITLE_DATE_PR="","",TITLE_DATE_PR),TITLE_DATE_PR_CHANGE)</f>
        <v>45408.52040509259</v>
      </c>
      <c r="W32" s="2605"/>
      <c r="X32" s="2605"/>
      <c r="Y32" s="2605"/>
      <c r="Z32" s="2605"/>
      <c r="AA32" s="2605"/>
      <c r="AB32" s="2605"/>
      <c r="AC32" s="667"/>
      <c r="AD32" s="2605" t="str">
        <f>IF(TITLE_DATE_PR_CHANGE="",IF(TITLE_DATE_PR="","",TITLE_DATE_PR),TITLE_DATE_PR_CHANGE)</f>
        <v>45408.52040509259</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2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536</v>
      </c>
      <c r="T33" s="2591"/>
      <c r="U33" s="1713"/>
      <c r="V33" s="2592" t="str">
        <f>IF(TITLE_NUMBER_PR_CHANGE="",IF(TITLE_NUMBER_PR="","",TITLE_NUMBER_PR),TITLE_NUMBER_PR_CHANGE)</f>
        <v>27-2139</v>
      </c>
      <c r="W33" s="2592"/>
      <c r="X33" s="2592"/>
      <c r="Y33" s="2592"/>
      <c r="Z33" s="2592"/>
      <c r="AA33" s="2592"/>
      <c r="AB33" s="2592"/>
      <c r="AC33" s="667"/>
      <c r="AD33" s="2592" t="str">
        <f>IF(TITLE_NUMBER_PR_CHANGE="",IF(TITLE_NUMBER_PR="","",TITLE_NUMBER_PR),TITLE_NUMBER_PR_CHANGE)</f>
        <v>27-2139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2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25" customFormat="1" customHeight="1" ht="18.75">
      <c r="A36" s="1709"/>
      <c r="B36" s="1709"/>
      <c r="C36" s="1709"/>
      <c r="D36" s="1709"/>
      <c r="E36" s="1709"/>
      <c r="F36" s="1709"/>
      <c r="G36" s="1709"/>
      <c r="H36" s="1709"/>
      <c r="I36" s="1709"/>
      <c r="J36" s="1709"/>
      <c r="K36" s="1709"/>
      <c r="L36" s="1710"/>
      <c r="M36" s="1709"/>
      <c r="N36" s="1709"/>
      <c r="O36" s="1709"/>
      <c r="P36" s="1709"/>
      <c r="Q36" s="1709"/>
      <c r="S36" s="2591" t="s">
        <v>535</v>
      </c>
      <c r="T36" s="2591"/>
      <c r="U36" s="1713"/>
      <c r="V36" s="2605" t="str">
        <f>IF(TITLE_DATE_PR_CHANGE="",IF(TITLE_DATE_PR="","",TITLE_DATE_PR),TITLE_DATE_PR_CHANGE)</f>
        <v>45408.52040509259</v>
      </c>
      <c r="W36" s="2605"/>
      <c r="X36" s="2605"/>
      <c r="Y36" s="2605"/>
      <c r="Z36" s="2605"/>
      <c r="AA36" s="2605"/>
      <c r="AB36" s="2605"/>
      <c r="AC36" s="667"/>
      <c r="AD36" s="2605" t="str">
        <f>IF(TITLE_DATE_PR_CHANGE="",IF(TITLE_DATE_PR="","",TITLE_DATE_PR),TITLE_DATE_PR_CHANGE)</f>
        <v>45408.52040509259</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25" customFormat="1" customHeight="1" ht="18.75">
      <c r="A37" s="1709"/>
      <c r="B37" s="1709"/>
      <c r="C37" s="1709"/>
      <c r="D37" s="1709"/>
      <c r="E37" s="1709"/>
      <c r="F37" s="1709"/>
      <c r="G37" s="1709"/>
      <c r="H37" s="1709"/>
      <c r="I37" s="1709"/>
      <c r="J37" s="1709"/>
      <c r="K37" s="1709"/>
      <c r="L37" s="1710"/>
      <c r="M37" s="1709"/>
      <c r="N37" s="1709"/>
      <c r="O37" s="1709"/>
      <c r="P37" s="1709"/>
      <c r="Q37" s="1709"/>
      <c r="S37" s="2591" t="s">
        <v>536</v>
      </c>
      <c r="T37" s="2591"/>
      <c r="U37" s="1713"/>
      <c r="V37" s="2592" t="str">
        <f>IF(TITLE_NUMBER_PR_CHANGE="",IF(TITLE_NUMBER_PR="","",TITLE_NUMBER_PR),TITLE_NUMBER_PR_CHANGE)</f>
        <v>27-2139</v>
      </c>
      <c r="W37" s="2592"/>
      <c r="X37" s="2592"/>
      <c r="Y37" s="2592"/>
      <c r="Z37" s="2592"/>
      <c r="AA37" s="2592"/>
      <c r="AB37" s="2592"/>
      <c r="AC37" s="667"/>
      <c r="AD37" s="2592" t="str">
        <f>IF(TITLE_NUMBER_PR_CHANGE="",IF(TITLE_NUMBER_PR="","",TITLE_NUMBER_PR),TITLE_NUMBER_PR_CHANGE)</f>
        <v>27-2139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2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539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539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414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415</v>
      </c>
      <c r="BI40" s="1496">
        <v>14</v>
      </c>
    </row>
    <row customHeight="1" ht="14.699999999999998">
      <c r="Q41" s="632"/>
      <c r="R41" s="717"/>
      <c r="S41" s="2614" t="s">
        <v>88</v>
      </c>
      <c r="T41" s="2550" t="s">
        <v>619</v>
      </c>
      <c r="U41" s="642"/>
      <c r="V41" s="2615" t="s">
        <v>541</v>
      </c>
      <c r="W41" s="2616"/>
      <c r="X41" s="2616"/>
      <c r="Y41" s="2616"/>
      <c r="Z41" s="2616"/>
      <c r="AA41" s="2616"/>
      <c r="AB41" s="2617"/>
      <c r="AC41" s="2618" t="s">
        <v>542</v>
      </c>
      <c r="AD41" s="2669" t="s">
        <v>620</v>
      </c>
      <c r="AE41" s="2632"/>
      <c r="AF41" s="2632"/>
      <c r="AG41" s="2670"/>
      <c r="AH41" s="2669" t="s">
        <v>621</v>
      </c>
      <c r="AI41" s="2632"/>
      <c r="AJ41" s="2632"/>
      <c r="AK41" s="2670"/>
      <c r="AL41" s="2669" t="s">
        <v>622</v>
      </c>
      <c r="AM41" s="2632"/>
      <c r="AN41" s="2632"/>
      <c r="AO41" s="2670"/>
      <c r="AP41" s="2669" t="s">
        <v>623</v>
      </c>
      <c r="AQ41" s="2632"/>
      <c r="AR41" s="2632"/>
      <c r="AS41" s="2670"/>
      <c r="AT41" s="2615" t="s">
        <v>541</v>
      </c>
      <c r="AU41" s="2616"/>
      <c r="AV41" s="2616"/>
      <c r="AW41" s="2616"/>
      <c r="AX41" s="2616"/>
      <c r="AY41" s="2616"/>
      <c r="AZ41" s="2617"/>
      <c r="BA41" s="2618" t="s">
        <v>542</v>
      </c>
      <c r="BB41" s="2621" t="s">
        <v>544</v>
      </c>
      <c r="BC41" s="2468"/>
      <c r="BI41" s="1496">
        <v>14</v>
      </c>
    </row>
    <row customHeight="1" ht="35.699999999999996">
      <c r="Q42" s="632"/>
      <c r="R42" s="717"/>
      <c r="S42" s="2614"/>
      <c r="T42" s="2550"/>
      <c r="U42" s="1372"/>
      <c r="V42" s="2533" t="s">
        <v>624</v>
      </c>
      <c r="W42" s="2534"/>
      <c r="X42" s="2533" t="s">
        <v>625</v>
      </c>
      <c r="Y42" s="2534"/>
      <c r="Z42" s="2635" t="s">
        <v>626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624</v>
      </c>
      <c r="AU42" s="2534"/>
      <c r="AV42" s="2533" t="s">
        <v>625</v>
      </c>
      <c r="AW42" s="2534"/>
      <c r="AX42" s="2635" t="s">
        <v>626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176</v>
      </c>
      <c r="C44" s="1711" t="s">
        <v>177</v>
      </c>
      <c r="D44" s="1711" t="s">
        <v>178</v>
      </c>
      <c r="E44" s="1705" t="s">
        <v>549</v>
      </c>
      <c r="F44" s="1705" t="s">
        <v>550</v>
      </c>
      <c r="G44" s="1705" t="s">
        <v>551</v>
      </c>
      <c r="H44" s="1705" t="s">
        <v>552</v>
      </c>
      <c r="I44" s="1705" t="s">
        <v>553</v>
      </c>
      <c r="J44" s="1705" t="s">
        <v>554</v>
      </c>
      <c r="K44" s="1705" t="s">
        <v>555</v>
      </c>
      <c r="L44" s="1705" t="s">
        <v>530</v>
      </c>
      <c r="Q44" s="632"/>
      <c r="R44" s="717"/>
      <c r="S44" s="2614"/>
      <c r="T44" s="2550"/>
      <c r="U44" s="643"/>
      <c r="V44" s="1789" t="s">
        <v>589</v>
      </c>
      <c r="W44" s="1789" t="s">
        <v>590</v>
      </c>
      <c r="X44" s="1789" t="s">
        <v>589</v>
      </c>
      <c r="Y44" s="1789" t="s">
        <v>590</v>
      </c>
      <c r="Z44" s="1796" t="s">
        <v>558</v>
      </c>
      <c r="AA44" s="2611" t="s">
        <v>559</v>
      </c>
      <c r="AB44" s="2612"/>
      <c r="AC44" s="2620"/>
      <c r="AD44" s="2674"/>
      <c r="AE44" s="2675"/>
      <c r="AF44" s="2675"/>
      <c r="AG44" s="2676"/>
      <c r="AH44" s="2674"/>
      <c r="AI44" s="2675"/>
      <c r="AJ44" s="2675"/>
      <c r="AK44" s="2676"/>
      <c r="AL44" s="2674"/>
      <c r="AM44" s="2675"/>
      <c r="AN44" s="2675"/>
      <c r="AO44" s="2676"/>
      <c r="AP44" s="2674"/>
      <c r="AQ44" s="2675"/>
      <c r="AR44" s="2675"/>
      <c r="AS44" s="2676"/>
      <c r="AT44" s="1789" t="s">
        <v>589</v>
      </c>
      <c r="AU44" s="1789" t="s">
        <v>590</v>
      </c>
      <c r="AV44" s="1789" t="s">
        <v>589</v>
      </c>
      <c r="AW44" s="1789" t="s">
        <v>590</v>
      </c>
      <c r="AX44" s="1796" t="s">
        <v>558</v>
      </c>
      <c r="AY44" s="2611" t="s">
        <v>559</v>
      </c>
      <c r="AZ44" s="2612"/>
      <c r="BA44" s="2620"/>
      <c r="BB44" s="2623"/>
      <c r="BC44" s="2468"/>
      <c r="BI44" s="1496">
        <v>14</v>
      </c>
    </row>
    <row s="22350"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145</v>
      </c>
      <c r="T45" s="1596" t="s">
        <v>103</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360</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164</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360</v>
      </c>
      <c r="B47" s="1704" t="s">
        <v>361</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511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512</v>
      </c>
      <c r="BE47" s="841"/>
      <c r="BF47" s="841" t="str">
        <f>IF(T47="","",T47)</f>
        <v>Территория действия тарифа</v>
      </c>
      <c r="BG47" s="841"/>
      <c r="BH47" s="841"/>
      <c r="BI47" s="1496">
        <v>21</v>
      </c>
    </row>
    <row customHeight="1" ht="43.050000000000004">
      <c r="A48" s="1704" t="s">
        <v>360</v>
      </c>
      <c r="B48" s="1704" t="s">
        <v>361</v>
      </c>
      <c r="C48" s="1704" t="s">
        <v>362</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592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593</v>
      </c>
      <c r="BE48" s="841"/>
      <c r="BF48" s="841" t="str">
        <f>IF(T48="","",T48)</f>
        <v>Наименование централизованной системы холодного водоснабжения</v>
      </c>
      <c r="BG48" s="841"/>
      <c r="BH48" s="841"/>
      <c r="BI48" s="1496">
        <v>41</v>
      </c>
    </row>
    <row s="21688" customFormat="1" customHeight="1" ht="0">
      <c r="A49" s="1684" t="s">
        <v>360</v>
      </c>
      <c r="B49" s="1684" t="s">
        <v>361</v>
      </c>
      <c r="C49" s="1684" t="s">
        <v>362</v>
      </c>
      <c r="D49" s="1684" t="s">
        <v>627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516</v>
      </c>
      <c r="BE49" s="841"/>
      <c r="BF49" s="841" t="str">
        <f>IF(T49="","",T49)</f>
        <v/>
      </c>
      <c r="BG49" s="841"/>
      <c r="BH49" s="841"/>
      <c r="BI49" s="852">
        <v>0</v>
      </c>
    </row>
    <row s="21688" customFormat="1" customHeight="1" ht="0">
      <c r="A50" s="1684" t="s">
        <v>360</v>
      </c>
      <c r="B50" s="1684" t="s">
        <v>361</v>
      </c>
      <c r="C50" s="1684" t="s">
        <v>362</v>
      </c>
      <c r="D50" s="1684" t="s">
        <v>627</v>
      </c>
      <c r="E50" s="2600"/>
      <c r="F50" s="2600"/>
      <c r="G50" s="2600"/>
      <c r="H50" s="2600"/>
      <c r="I50" s="2597" t="str">
        <f>S49&amp;".1"</f>
        <v>.1</v>
      </c>
      <c r="J50" s="1684"/>
      <c r="K50" s="1684"/>
      <c r="L50" s="1687" t="s">
        <v>517</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688" customFormat="1" customHeight="1" ht="0">
      <c r="A51" s="1684" t="s">
        <v>360</v>
      </c>
      <c r="B51" s="1684" t="s">
        <v>361</v>
      </c>
      <c r="C51" s="1684" t="s">
        <v>362</v>
      </c>
      <c r="D51" s="1684" t="s">
        <v>627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360</v>
      </c>
      <c r="B52" s="1704" t="s">
        <v>361</v>
      </c>
      <c r="C52" s="1704" t="s">
        <v>362</v>
      </c>
      <c r="D52" s="1704" t="s">
        <v>627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04">
        <v>1</v>
      </c>
      <c r="AS52" s="1807" t="s">
        <v>28</v>
      </c>
      <c r="AT52" s="1092"/>
      <c r="AU52" s="1598"/>
      <c r="AV52" s="1092"/>
      <c r="AW52" s="1598"/>
      <c r="AX52" s="2075"/>
      <c r="AY52" s="1800" t="s">
        <v>66</v>
      </c>
      <c r="AZ52" s="2075"/>
      <c r="BA52" s="1800" t="s">
        <v>66</v>
      </c>
      <c r="BB52" s="1689"/>
      <c r="BC52" s="2594" t="s">
        <v>613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614</v>
      </c>
      <c r="AT53" s="1734"/>
      <c r="AU53" s="1837"/>
      <c r="AV53" s="1734"/>
      <c r="AW53" s="1837"/>
      <c r="AX53" s="1734"/>
      <c r="AY53" s="1734"/>
      <c r="AZ53" s="1734"/>
      <c r="BA53" s="1734"/>
      <c r="BB53" s="1738"/>
      <c r="BC53" s="2595"/>
      <c r="BE53" s="841"/>
      <c r="BF53" s="841"/>
      <c r="BG53" s="841"/>
      <c r="BH53" s="841"/>
      <c r="BI53" s="1496">
        <v>11</v>
      </c>
    </row>
    <row customHeight="1" ht="11.549999999999999">
      <c r="A54" s="1704" t="s">
        <v>360</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615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360</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616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360</v>
      </c>
      <c r="B56" s="1704" t="s">
        <v>361</v>
      </c>
      <c r="C56" s="1704" t="s">
        <v>362</v>
      </c>
      <c r="D56" s="1704" t="s">
        <v>627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617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360</v>
      </c>
      <c r="B57" s="1704" t="s">
        <v>361</v>
      </c>
      <c r="C57" s="1704" t="s">
        <v>362</v>
      </c>
      <c r="D57" s="1704" t="s">
        <v>627</v>
      </c>
      <c r="E57" s="2600"/>
      <c r="F57" s="2600"/>
      <c r="G57" s="2600"/>
      <c r="H57" s="2600"/>
      <c r="I57" s="2627"/>
      <c r="J57" s="2597"/>
      <c r="K57" s="1704"/>
      <c r="L57" s="1705"/>
      <c r="P57" s="2598"/>
      <c r="Q57" s="2598"/>
      <c r="R57" s="697"/>
      <c r="S57" s="1619"/>
      <c r="T57" s="628" t="s">
        <v>579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688" customFormat="1" customHeight="1" ht="0">
      <c r="A58" s="1684" t="s">
        <v>360</v>
      </c>
      <c r="B58" s="1684" t="s">
        <v>361</v>
      </c>
      <c r="C58" s="1684" t="s">
        <v>362</v>
      </c>
      <c r="D58" s="1684" t="s">
        <v>627</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688" customFormat="1" customHeight="1" ht="0">
      <c r="A59" s="1684" t="s">
        <v>360</v>
      </c>
      <c r="B59" s="1684" t="s">
        <v>361</v>
      </c>
      <c r="C59" s="1684" t="s">
        <v>362</v>
      </c>
      <c r="D59" s="1684" t="s">
        <v>627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688" customFormat="1" customHeight="1" ht="0">
      <c r="A60" s="1684" t="s">
        <v>360</v>
      </c>
      <c r="B60" s="1684" t="s">
        <v>361</v>
      </c>
      <c r="C60" s="1684" t="s">
        <v>362</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688" customFormat="1" customHeight="1" ht="0">
      <c r="A61" s="1684" t="s">
        <v>360</v>
      </c>
      <c r="B61" s="1684" t="s">
        <v>361</v>
      </c>
      <c r="C61" s="1655"/>
      <c r="D61" s="1655"/>
      <c r="E61" s="2600"/>
      <c r="F61" s="2599"/>
      <c r="G61" s="1655"/>
      <c r="H61" s="1655"/>
      <c r="I61" s="1655"/>
      <c r="J61" s="1655"/>
      <c r="K61" s="1655"/>
      <c r="L61" s="1805"/>
      <c r="M61" s="1662"/>
      <c r="N61" s="1662"/>
      <c r="P61" s="1657"/>
      <c r="Q61" s="1658"/>
      <c r="R61" s="1657"/>
      <c r="S61" s="1663"/>
      <c r="T61" s="1666" t="s">
        <v>280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688" customFormat="1" customHeight="1" ht="0">
      <c r="A62" s="1684" t="s">
        <v>360</v>
      </c>
      <c r="B62" s="1684"/>
      <c r="C62" s="1684"/>
      <c r="D62" s="1684"/>
      <c r="E62" s="2599"/>
      <c r="F62" s="1684"/>
      <c r="G62" s="1684"/>
      <c r="H62" s="1684"/>
      <c r="I62" s="1684"/>
      <c r="J62" s="1684"/>
      <c r="K62" s="1684"/>
      <c r="L62" s="1687"/>
      <c r="M62" s="1662"/>
      <c r="N62" s="1662"/>
      <c r="O62" s="859"/>
      <c r="P62" s="721"/>
      <c r="Q62" s="1685"/>
      <c r="R62" s="721"/>
      <c r="S62" s="1663"/>
      <c r="T62" s="1666" t="s">
        <v>339</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688"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340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008B-D63D-CFAF-C604-EFF4FED3B9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29" style="21605" width="24.7109375" customWidth="1"/>
    <col min="30" max="31" style="21605" width="24.00390625" customWidth="1"/>
    <col min="32" max="32" style="21605" width="11.00390625" customWidth="1"/>
    <col min="33" max="33" style="21605" width="3.7109375" customWidth="1"/>
    <col min="34" max="34" style="21605" width="11.00390625" customWidth="1"/>
    <col min="35" max="35" style="21605" width="8.57421875" hidden="1" customWidth="1"/>
    <col min="36" max="36" style="21605" width="4.00390625" customWidth="1"/>
    <col min="37" max="37" style="21605" width="115.00390625" customWidth="1"/>
    <col min="38" max="42" style="21688" width="10.00390625" customWidth="1"/>
    <col min="43" max="43" style="21605"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512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628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629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594</v>
      </c>
      <c r="U5" s="641"/>
      <c r="V5" s="2691"/>
      <c r="W5" s="2692"/>
      <c r="X5" s="2692"/>
      <c r="Y5" s="2692"/>
      <c r="Z5" s="2692"/>
      <c r="AA5" s="2692"/>
      <c r="AB5" s="2693"/>
      <c r="AC5" s="2694"/>
      <c r="AD5" s="2695"/>
      <c r="AE5" s="2695"/>
      <c r="AF5" s="2695"/>
      <c r="AG5" s="2695"/>
      <c r="AH5" s="2695"/>
      <c r="AI5" s="2695"/>
      <c r="AJ5" s="2696"/>
      <c r="AK5" s="1599" t="s">
        <v>595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520</v>
      </c>
      <c r="P6" s="2598"/>
      <c r="Q6" s="2598">
        <v>1</v>
      </c>
      <c r="R6" s="698"/>
      <c r="S6" s="1834">
        <f>$J6</f>
      </c>
      <c r="T6" s="627" t="s">
        <v>521</v>
      </c>
      <c r="U6" s="641"/>
      <c r="V6" s="2586"/>
      <c r="W6" s="2587"/>
      <c r="X6" s="2587"/>
      <c r="Y6" s="2587"/>
      <c r="Z6" s="2587"/>
      <c r="AA6" s="2587"/>
      <c r="AB6" s="2588"/>
      <c r="AC6" s="2586"/>
      <c r="AD6" s="2587"/>
      <c r="AE6" s="2587"/>
      <c r="AF6" s="2587"/>
      <c r="AG6" s="2587"/>
      <c r="AH6" s="2587"/>
      <c r="AI6" s="2587"/>
      <c r="AJ6" s="2588"/>
      <c r="AK6" s="1648" t="s">
        <v>596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708"/>
      <c r="AK9" s="1599" t="s">
        <v>598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526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68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687" customFormat="1" customHeight="1" ht="22.5" hidden="1">
      <c r="L18" s="1819"/>
      <c r="M18" s="1703"/>
      <c r="N18" s="1703"/>
      <c r="O18" s="1708" t="s">
        <v>529</v>
      </c>
      <c r="P18" s="1703"/>
      <c r="Q18" s="1712"/>
      <c r="R18" s="1712"/>
      <c r="S18" s="1070"/>
      <c r="Y18" s="1708"/>
      <c r="AA18" s="1708"/>
      <c r="AB18" s="1707"/>
      <c r="AF18" s="1708"/>
      <c r="AH18" s="1708"/>
      <c r="AI18" s="1707"/>
      <c r="AL18" s="852"/>
      <c r="AM18" s="852"/>
      <c r="AN18" s="852"/>
      <c r="AO18" s="852"/>
      <c r="AP18" s="852"/>
      <c r="AQ18" s="1501">
        <v>0</v>
      </c>
    </row>
    <row s="21687" customFormat="1" customHeight="1" ht="14.25" hidden="1">
      <c r="L19" s="1819"/>
      <c r="M19" s="1703"/>
      <c r="N19" s="1703"/>
      <c r="O19" s="1703"/>
      <c r="P19" s="1703"/>
      <c r="Q19" s="1712"/>
      <c r="R19" s="1712"/>
      <c r="S19" s="1070"/>
      <c r="AB19" s="1707"/>
      <c r="AI19" s="1707"/>
      <c r="AL19" s="852"/>
      <c r="AM19" s="852"/>
      <c r="AN19" s="852"/>
      <c r="AO19" s="852"/>
      <c r="AP19" s="852"/>
      <c r="AQ19" s="1501">
        <v>0</v>
      </c>
    </row>
    <row s="21687" customFormat="1" customHeight="1" ht="12" hidden="1">
      <c r="L20" s="1819"/>
      <c r="M20" s="1703"/>
      <c r="N20" s="1703"/>
      <c r="O20" s="1705" t="s">
        <v>530</v>
      </c>
      <c r="P20" s="1703"/>
      <c r="Q20" s="1783"/>
      <c r="R20" s="1783"/>
      <c r="S20" s="1070"/>
      <c r="T20" s="1501" t="s">
        <v>531</v>
      </c>
      <c r="Z20" s="527" t="s">
        <v>532</v>
      </c>
      <c r="AB20" s="527" t="s">
        <v>533</v>
      </c>
      <c r="AC20" s="1501" t="s">
        <v>531</v>
      </c>
      <c r="AG20" s="527" t="s">
        <v>534</v>
      </c>
      <c r="AI20" s="527" t="s">
        <v>533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667"/>
      <c r="AK28" s="621"/>
      <c r="AL28" s="709"/>
      <c r="AM28" s="709"/>
      <c r="AN28" s="709"/>
      <c r="AO28" s="709"/>
      <c r="AP28" s="709"/>
      <c r="AQ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667"/>
      <c r="AK29" s="621"/>
      <c r="AL29" s="709"/>
      <c r="AM29" s="709"/>
      <c r="AN29" s="709"/>
      <c r="AO29" s="709"/>
      <c r="AP29" s="709"/>
      <c r="AQ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667"/>
      <c r="AK32" s="621"/>
      <c r="AL32" s="709"/>
      <c r="AM32" s="709"/>
      <c r="AN32" s="709"/>
      <c r="AO32" s="709"/>
      <c r="AP32" s="709"/>
      <c r="AQ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667"/>
      <c r="AK33" s="621"/>
      <c r="AL33" s="709"/>
      <c r="AM33" s="709"/>
      <c r="AN33" s="709"/>
      <c r="AO33" s="709"/>
      <c r="AP33" s="709"/>
      <c r="AQ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539</v>
      </c>
      <c r="AC34" s="667"/>
      <c r="AD34" s="667"/>
      <c r="AE34" s="667"/>
      <c r="AF34" s="667"/>
      <c r="AG34" s="667"/>
      <c r="AH34" s="667"/>
      <c r="AI34" s="619" t="s">
        <v>539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t="s">
        <v>415</v>
      </c>
      <c r="AQ36" s="1496">
        <v>14</v>
      </c>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2621" t="s">
        <v>544</v>
      </c>
      <c r="AK37" s="2468"/>
      <c r="AQ37" s="1496">
        <v>14</v>
      </c>
    </row>
    <row customHeight="1" ht="35.699999999999996">
      <c r="Q38" s="717"/>
      <c r="R38" s="717"/>
      <c r="S38" s="2614"/>
      <c r="T38" s="2550"/>
      <c r="U38" s="1372"/>
      <c r="V38" s="1824" t="s">
        <v>600</v>
      </c>
      <c r="W38" s="2603" t="s">
        <v>547</v>
      </c>
      <c r="X38" s="2604"/>
      <c r="Y38" s="2603" t="s">
        <v>548</v>
      </c>
      <c r="Z38" s="2610"/>
      <c r="AA38" s="2604"/>
      <c r="AB38" s="2619"/>
      <c r="AC38" s="1824" t="s">
        <v>600</v>
      </c>
      <c r="AD38" s="2603" t="s">
        <v>547</v>
      </c>
      <c r="AE38" s="2604"/>
      <c r="AF38" s="2603" t="s">
        <v>548</v>
      </c>
      <c r="AG38" s="2610"/>
      <c r="AH38" s="2604"/>
      <c r="AI38" s="2619"/>
      <c r="AJ38" s="2622"/>
      <c r="AK38" s="2468"/>
      <c r="AQ38" s="1496">
        <v>34</v>
      </c>
    </row>
    <row customHeight="1" ht="90.3">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824" t="s">
        <v>630</v>
      </c>
      <c r="W39" s="1563" t="s">
        <v>631</v>
      </c>
      <c r="X39" s="1563" t="s">
        <v>605</v>
      </c>
      <c r="Y39" s="1830" t="s">
        <v>558</v>
      </c>
      <c r="Z39" s="2611" t="s">
        <v>559</v>
      </c>
      <c r="AA39" s="2612"/>
      <c r="AB39" s="2620"/>
      <c r="AC39" s="1824" t="s">
        <v>630</v>
      </c>
      <c r="AD39" s="1563" t="s">
        <v>631</v>
      </c>
      <c r="AE39" s="1563" t="s">
        <v>605</v>
      </c>
      <c r="AF39" s="1830" t="s">
        <v>558</v>
      </c>
      <c r="AG39" s="2611" t="s">
        <v>559</v>
      </c>
      <c r="AH39" s="2612"/>
      <c r="AI39" s="2620"/>
      <c r="AJ39" s="2623"/>
      <c r="AK39" s="2468"/>
      <c r="AQ39" s="1496">
        <v>86</v>
      </c>
    </row>
    <row s="22350"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380</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164</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380</v>
      </c>
      <c r="B42" s="1704" t="s">
        <v>381</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511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512</v>
      </c>
      <c r="AM42" s="841"/>
      <c r="AN42" s="841" t="str">
        <f>IF(T42="","",T42)</f>
        <v>Территория действия тарифа</v>
      </c>
      <c r="AO42" s="841"/>
      <c r="AP42" s="841"/>
      <c r="AQ42" s="1496">
        <v>23</v>
      </c>
    </row>
    <row customHeight="1" ht="24">
      <c r="A43" s="1704" t="s">
        <v>380</v>
      </c>
      <c r="B43" s="1704" t="s">
        <v>381</v>
      </c>
      <c r="C43" s="1704" t="s">
        <v>382</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628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629</v>
      </c>
      <c r="AM43" s="841"/>
      <c r="AN43" s="841" t="str">
        <f>IF(T43="","",T43)</f>
        <v>Наименование централизованной системы водоотведения</v>
      </c>
      <c r="AO43" s="841"/>
      <c r="AP43" s="841"/>
      <c r="AQ43" s="1496">
        <v>23</v>
      </c>
    </row>
    <row customHeight="1" ht="24">
      <c r="A44" s="1704" t="s">
        <v>380</v>
      </c>
      <c r="B44" s="1704" t="s">
        <v>381</v>
      </c>
      <c r="C44" s="1704" t="s">
        <v>382</v>
      </c>
      <c r="D44" s="1704" t="s">
        <v>632</v>
      </c>
      <c r="E44" s="2600"/>
      <c r="F44" s="2600"/>
      <c r="G44" s="2600"/>
      <c r="H44" s="2600"/>
      <c r="I44" s="2597" t="str">
        <f>S43&amp;".1"</f>
        <v>...1</v>
      </c>
      <c r="J44" s="1704"/>
      <c r="K44" s="1704"/>
      <c r="L44" s="1705"/>
      <c r="P44" s="2598">
        <v>1</v>
      </c>
      <c r="Q44" s="1822"/>
      <c r="R44" s="697"/>
      <c r="S44" s="1834" t="str">
        <f>$I44</f>
        <v>...1</v>
      </c>
      <c r="T44" s="626" t="s">
        <v>594</v>
      </c>
      <c r="U44" s="641"/>
      <c r="V44" s="2691"/>
      <c r="W44" s="2692"/>
      <c r="X44" s="2692"/>
      <c r="Y44" s="2692"/>
      <c r="Z44" s="2692"/>
      <c r="AA44" s="2692"/>
      <c r="AB44" s="2693"/>
      <c r="AC44" s="2694"/>
      <c r="AD44" s="2695"/>
      <c r="AE44" s="2695"/>
      <c r="AF44" s="2695"/>
      <c r="AG44" s="2695"/>
      <c r="AH44" s="2695"/>
      <c r="AI44" s="2695"/>
      <c r="AJ44" s="2696"/>
      <c r="AK44" s="1599" t="s">
        <v>595</v>
      </c>
      <c r="AM44" s="841"/>
      <c r="AN44" s="841" t="str">
        <f>IF(T44="","",T44)</f>
        <v>Наименование признака дифференциации</v>
      </c>
      <c r="AO44" s="841"/>
      <c r="AP44" s="841"/>
      <c r="AQ44" s="1496">
        <v>23</v>
      </c>
    </row>
    <row customHeight="1" ht="24">
      <c r="A45" s="1704" t="s">
        <v>380</v>
      </c>
      <c r="B45" s="1704" t="s">
        <v>381</v>
      </c>
      <c r="C45" s="1704" t="s">
        <v>382</v>
      </c>
      <c r="D45" s="1704" t="s">
        <v>632</v>
      </c>
      <c r="E45" s="2600"/>
      <c r="F45" s="2600"/>
      <c r="G45" s="2600"/>
      <c r="H45" s="2600"/>
      <c r="I45" s="2627"/>
      <c r="J45" s="2597" t="str">
        <f>I44&amp;".1"</f>
        <v>...1.1</v>
      </c>
      <c r="K45" s="1704"/>
      <c r="L45" s="1705" t="s">
        <v>520</v>
      </c>
      <c r="P45" s="2598"/>
      <c r="Q45" s="2598">
        <v>1</v>
      </c>
      <c r="R45" s="698"/>
      <c r="S45" s="1834" t="str">
        <f>$J45</f>
        <v>...1.1</v>
      </c>
      <c r="T45" s="627" t="s">
        <v>521</v>
      </c>
      <c r="U45" s="641"/>
      <c r="V45" s="2586"/>
      <c r="W45" s="2587"/>
      <c r="X45" s="2587"/>
      <c r="Y45" s="2587"/>
      <c r="Z45" s="2587"/>
      <c r="AA45" s="2587"/>
      <c r="AB45" s="2588"/>
      <c r="AC45" s="2586"/>
      <c r="AD45" s="2587"/>
      <c r="AE45" s="2587"/>
      <c r="AF45" s="2587"/>
      <c r="AG45" s="2587"/>
      <c r="AH45" s="2587"/>
      <c r="AI45" s="2587"/>
      <c r="AJ45" s="2588"/>
      <c r="AK45" s="1648" t="s">
        <v>596</v>
      </c>
      <c r="AM45" s="841"/>
      <c r="AN45" s="841" t="str">
        <f>IF(T45="","",T45)</f>
        <v>Группа потребителей</v>
      </c>
      <c r="AO45" s="841"/>
      <c r="AP45" s="841"/>
      <c r="AQ45" s="1496">
        <v>23</v>
      </c>
    </row>
    <row customHeight="1" ht="24">
      <c r="A46" s="1704" t="s">
        <v>380</v>
      </c>
      <c r="B46" s="1704" t="s">
        <v>381</v>
      </c>
      <c r="C46" s="1704" t="s">
        <v>382</v>
      </c>
      <c r="D46" s="1704" t="s">
        <v>632</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380</v>
      </c>
      <c r="B47" s="1704" t="s">
        <v>381</v>
      </c>
      <c r="C47" s="1704" t="s">
        <v>382</v>
      </c>
      <c r="D47" s="1704" t="s">
        <v>632</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380</v>
      </c>
      <c r="B48" s="1704" t="s">
        <v>381</v>
      </c>
      <c r="C48" s="1704" t="s">
        <v>382</v>
      </c>
      <c r="D48" s="1704" t="s">
        <v>632</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708"/>
      <c r="AK48" s="1599" t="s">
        <v>598</v>
      </c>
      <c r="AM48" s="841"/>
      <c r="AN48" s="841" t="str">
        <f>IF(T48="","",T48)</f>
        <v>Добавить значение признака дифференциации</v>
      </c>
      <c r="AO48" s="841"/>
      <c r="AP48" s="841"/>
      <c r="AQ48" s="1496">
        <v>20</v>
      </c>
    </row>
    <row customHeight="1" ht="22.049999999999997">
      <c r="A49" s="1704" t="s">
        <v>380</v>
      </c>
      <c r="B49" s="1704" t="s">
        <v>381</v>
      </c>
      <c r="C49" s="1704" t="s">
        <v>382</v>
      </c>
      <c r="D49" s="1704" t="s">
        <v>632</v>
      </c>
      <c r="E49" s="2600"/>
      <c r="F49" s="2600"/>
      <c r="G49" s="2600"/>
      <c r="H49" s="2600"/>
      <c r="I49" s="2597"/>
      <c r="J49" s="1704"/>
      <c r="K49" s="1704"/>
      <c r="L49" s="1705"/>
      <c r="P49" s="2598"/>
      <c r="Q49" s="1822"/>
      <c r="R49" s="697"/>
      <c r="S49" s="1619"/>
      <c r="T49" s="706" t="s">
        <v>526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380</v>
      </c>
      <c r="B50" s="1704" t="s">
        <v>381</v>
      </c>
      <c r="C50" s="1704" t="s">
        <v>382</v>
      </c>
      <c r="D50" s="1704" t="s">
        <v>632</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688" customFormat="1" customHeight="1" ht="0">
      <c r="A51" s="1684" t="s">
        <v>380</v>
      </c>
      <c r="B51" s="1684" t="s">
        <v>381</v>
      </c>
      <c r="C51" s="1655"/>
      <c r="D51" s="1655"/>
      <c r="E51" s="2600"/>
      <c r="F51" s="2599"/>
      <c r="G51" s="1655"/>
      <c r="H51" s="1655"/>
      <c r="I51" s="1655"/>
      <c r="J51" s="1655"/>
      <c r="K51" s="1655"/>
      <c r="L51" s="1835"/>
      <c r="M51" s="1662"/>
      <c r="N51" s="1662"/>
      <c r="P51" s="1657"/>
      <c r="Q51" s="1658"/>
      <c r="R51" s="1657"/>
      <c r="S51" s="1663"/>
      <c r="T51" s="1666" t="s">
        <v>280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688" customFormat="1" customHeight="1" ht="0">
      <c r="A52" s="1684" t="s">
        <v>380</v>
      </c>
      <c r="B52" s="1684"/>
      <c r="C52" s="1684"/>
      <c r="D52" s="1684"/>
      <c r="E52" s="2599"/>
      <c r="F52" s="1684"/>
      <c r="G52" s="1684"/>
      <c r="H52" s="1684"/>
      <c r="I52" s="1684"/>
      <c r="J52" s="1684"/>
      <c r="K52" s="1684"/>
      <c r="L52" s="1687"/>
      <c r="M52" s="1662"/>
      <c r="N52" s="1662"/>
      <c r="O52" s="859"/>
      <c r="P52" s="721"/>
      <c r="Q52" s="1685"/>
      <c r="R52" s="721"/>
      <c r="S52" s="1663"/>
      <c r="T52" s="1666" t="s">
        <v>339</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688"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340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2B447-E85F-DC51-D26F-3730F81F9B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4" style="21605" width="24.7109375" hidden="1" customWidth="1"/>
    <col min="25" max="25" style="21605" width="11.7109375" hidden="1" customWidth="1"/>
    <col min="26" max="26" style="21605" width="3.7109375" hidden="1" customWidth="1"/>
    <col min="27" max="27" style="21605" width="11.7109375" hidden="1" customWidth="1"/>
    <col min="28" max="28" style="21605" width="8.57421875" hidden="1" customWidth="1"/>
    <col min="29" max="29" style="21605" width="24.7109375" customWidth="1"/>
    <col min="30" max="31" style="21605" width="24.00390625" customWidth="1"/>
    <col min="32" max="32" style="21605" width="11.00390625" customWidth="1"/>
    <col min="33" max="33" style="21605" width="3.7109375" customWidth="1"/>
    <col min="34" max="34" style="21605" width="11.00390625" customWidth="1"/>
    <col min="35" max="35" style="21605" width="8.57421875" hidden="1" customWidth="1"/>
    <col min="36" max="36" style="21605" width="4.00390625" customWidth="1"/>
    <col min="37" max="37" style="21605" width="115.00390625" customWidth="1"/>
    <col min="38" max="42" style="21688" width="10.00390625" customWidth="1"/>
    <col min="43" max="43" style="21605"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164</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511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512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628</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629</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594</v>
      </c>
      <c r="U5" s="641"/>
      <c r="V5" s="2691"/>
      <c r="W5" s="2692"/>
      <c r="X5" s="2692"/>
      <c r="Y5" s="2692"/>
      <c r="Z5" s="2692"/>
      <c r="AA5" s="2692"/>
      <c r="AB5" s="2693"/>
      <c r="AC5" s="2694"/>
      <c r="AD5" s="2695"/>
      <c r="AE5" s="2695"/>
      <c r="AF5" s="2695"/>
      <c r="AG5" s="2695"/>
      <c r="AH5" s="2695"/>
      <c r="AI5" s="2695"/>
      <c r="AJ5" s="2696"/>
      <c r="AK5" s="1599" t="s">
        <v>595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520</v>
      </c>
      <c r="P6" s="2598"/>
      <c r="Q6" s="2598">
        <v>1</v>
      </c>
      <c r="R6" s="698"/>
      <c r="S6" s="1834">
        <f>$J6</f>
      </c>
      <c r="T6" s="627" t="s">
        <v>521</v>
      </c>
      <c r="U6" s="641"/>
      <c r="V6" s="2586"/>
      <c r="W6" s="2587"/>
      <c r="X6" s="2587"/>
      <c r="Y6" s="2587"/>
      <c r="Z6" s="2587"/>
      <c r="AA6" s="2587"/>
      <c r="AB6" s="2588"/>
      <c r="AC6" s="2586"/>
      <c r="AD6" s="2587"/>
      <c r="AE6" s="2587"/>
      <c r="AF6" s="2587"/>
      <c r="AG6" s="2587"/>
      <c r="AH6" s="2587"/>
      <c r="AI6" s="2587"/>
      <c r="AJ6" s="2588"/>
      <c r="AK6" s="1648" t="s">
        <v>596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708"/>
      <c r="X9" s="708"/>
      <c r="Y9" s="708"/>
      <c r="Z9" s="708"/>
      <c r="AA9" s="708"/>
      <c r="AB9" s="708"/>
      <c r="AC9" s="708"/>
      <c r="AD9" s="708"/>
      <c r="AE9" s="708"/>
      <c r="AF9" s="708"/>
      <c r="AG9" s="708"/>
      <c r="AH9" s="708"/>
      <c r="AI9" s="708"/>
      <c r="AJ9" s="708"/>
      <c r="AK9" s="1599" t="s">
        <v>598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526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2168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21687" customFormat="1" customHeight="1" ht="22.5" hidden="1">
      <c r="L18" s="1819"/>
      <c r="M18" s="1703"/>
      <c r="N18" s="1703"/>
      <c r="O18" s="1708" t="s">
        <v>529</v>
      </c>
      <c r="P18" s="1703"/>
      <c r="Q18" s="1712"/>
      <c r="R18" s="1712"/>
      <c r="S18" s="1070"/>
      <c r="Y18" s="1708"/>
      <c r="AA18" s="1708"/>
      <c r="AB18" s="1707"/>
      <c r="AF18" s="1708"/>
      <c r="AH18" s="1708"/>
      <c r="AI18" s="1707"/>
      <c r="AL18" s="852"/>
      <c r="AM18" s="852"/>
      <c r="AN18" s="852"/>
      <c r="AO18" s="852"/>
      <c r="AP18" s="852"/>
      <c r="AQ18" s="1501">
        <v>0</v>
      </c>
    </row>
    <row s="21687" customFormat="1" customHeight="1" ht="14.25" hidden="1">
      <c r="L19" s="1819"/>
      <c r="M19" s="1703"/>
      <c r="N19" s="1703"/>
      <c r="O19" s="1703"/>
      <c r="P19" s="1703"/>
      <c r="Q19" s="1712"/>
      <c r="R19" s="1712"/>
      <c r="S19" s="1070"/>
      <c r="AB19" s="1707"/>
      <c r="AI19" s="1707"/>
      <c r="AL19" s="852"/>
      <c r="AM19" s="852"/>
      <c r="AN19" s="852"/>
      <c r="AO19" s="852"/>
      <c r="AP19" s="852"/>
      <c r="AQ19" s="1501">
        <v>0</v>
      </c>
    </row>
    <row s="21687" customFormat="1" customHeight="1" ht="12" hidden="1">
      <c r="L20" s="1819"/>
      <c r="M20" s="1703"/>
      <c r="N20" s="1703"/>
      <c r="O20" s="1705" t="s">
        <v>530</v>
      </c>
      <c r="P20" s="1703"/>
      <c r="Q20" s="1783"/>
      <c r="R20" s="1783"/>
      <c r="S20" s="1070"/>
      <c r="T20" s="1501" t="s">
        <v>531</v>
      </c>
      <c r="Z20" s="527" t="s">
        <v>532</v>
      </c>
      <c r="AB20" s="527" t="s">
        <v>533</v>
      </c>
      <c r="AC20" s="1501" t="s">
        <v>531</v>
      </c>
      <c r="AG20" s="527" t="s">
        <v>534</v>
      </c>
      <c r="AI20" s="527" t="s">
        <v>533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667"/>
      <c r="AC28" s="2605" t="str">
        <f>IF(TITLE_DATE_PR_CHANGE="",IF(TITLE_DATE_PR="","",TITLE_DATE_PR),TITLE_DATE_PR_CHANGE)</f>
        <v>45408.52040509259</v>
      </c>
      <c r="AD28" s="2605"/>
      <c r="AE28" s="2605"/>
      <c r="AF28" s="2605"/>
      <c r="AG28" s="2605"/>
      <c r="AH28" s="2605"/>
      <c r="AI28" s="667"/>
      <c r="AJ28" s="667"/>
      <c r="AK28" s="621"/>
      <c r="AL28" s="709"/>
      <c r="AM28" s="709"/>
      <c r="AN28" s="709"/>
      <c r="AO28" s="709"/>
      <c r="AP28" s="709"/>
      <c r="AQ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667"/>
      <c r="AC29" s="2592" t="str">
        <f>IF(TITLE_NUMBER_PR_CHANGE="",IF(TITLE_NUMBER_PR="","",TITLE_NUMBER_PR),TITLE_NUMBER_PR_CHANGE)</f>
        <v>27-2139</v>
      </c>
      <c r="AD29" s="2592"/>
      <c r="AE29" s="2592"/>
      <c r="AF29" s="2592"/>
      <c r="AG29" s="2592"/>
      <c r="AH29" s="2592"/>
      <c r="AI29" s="667"/>
      <c r="AJ29" s="667"/>
      <c r="AK29" s="621"/>
      <c r="AL29" s="709"/>
      <c r="AM29" s="709"/>
      <c r="AN29" s="709"/>
      <c r="AO29" s="709"/>
      <c r="AP29" s="709"/>
      <c r="AQ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667"/>
      <c r="AC32" s="2605" t="str">
        <f>IF(TITLE_DATE_PR_CHANGE="",IF(TITLE_DATE_PR="","",TITLE_DATE_PR),TITLE_DATE_PR_CHANGE)</f>
        <v>45408.52040509259</v>
      </c>
      <c r="AD32" s="2605"/>
      <c r="AE32" s="2605"/>
      <c r="AF32" s="2605"/>
      <c r="AG32" s="2605"/>
      <c r="AH32" s="2605"/>
      <c r="AI32" s="667"/>
      <c r="AJ32" s="667"/>
      <c r="AK32" s="621"/>
      <c r="AL32" s="709"/>
      <c r="AM32" s="709"/>
      <c r="AN32" s="709"/>
      <c r="AO32" s="709"/>
      <c r="AP32" s="709"/>
      <c r="AQ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667"/>
      <c r="AC33" s="2592" t="str">
        <f>IF(TITLE_NUMBER_PR_CHANGE="",IF(TITLE_NUMBER_PR="","",TITLE_NUMBER_PR),TITLE_NUMBER_PR_CHANGE)</f>
        <v>27-2139</v>
      </c>
      <c r="AD33" s="2592"/>
      <c r="AE33" s="2592"/>
      <c r="AF33" s="2592"/>
      <c r="AG33" s="2592"/>
      <c r="AH33" s="2592"/>
      <c r="AI33" s="667"/>
      <c r="AJ33" s="667"/>
      <c r="AK33" s="621"/>
      <c r="AL33" s="709"/>
      <c r="AM33" s="709"/>
      <c r="AN33" s="709"/>
      <c r="AO33" s="709"/>
      <c r="AP33" s="709"/>
      <c r="AQ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539</v>
      </c>
      <c r="AC34" s="667"/>
      <c r="AD34" s="667"/>
      <c r="AE34" s="667"/>
      <c r="AF34" s="667"/>
      <c r="AG34" s="667"/>
      <c r="AH34" s="667"/>
      <c r="AI34" s="619" t="s">
        <v>539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t="s">
        <v>415</v>
      </c>
      <c r="AQ36" s="1496">
        <v>14</v>
      </c>
    </row>
    <row customHeight="1" ht="14.699999999999998">
      <c r="Q37" s="717"/>
      <c r="R37" s="717"/>
      <c r="S37" s="2614" t="s">
        <v>88</v>
      </c>
      <c r="T37" s="2550" t="s">
        <v>540</v>
      </c>
      <c r="U37" s="642"/>
      <c r="V37" s="2615" t="s">
        <v>541</v>
      </c>
      <c r="W37" s="2616"/>
      <c r="X37" s="2616"/>
      <c r="Y37" s="2616"/>
      <c r="Z37" s="2616"/>
      <c r="AA37" s="2617"/>
      <c r="AB37" s="2618" t="s">
        <v>542</v>
      </c>
      <c r="AC37" s="2615" t="s">
        <v>541</v>
      </c>
      <c r="AD37" s="2616"/>
      <c r="AE37" s="2616"/>
      <c r="AF37" s="2616"/>
      <c r="AG37" s="2616"/>
      <c r="AH37" s="2617"/>
      <c r="AI37" s="2618" t="s">
        <v>543</v>
      </c>
      <c r="AJ37" s="2621" t="s">
        <v>544</v>
      </c>
      <c r="AK37" s="2468"/>
      <c r="AQ37" s="1496">
        <v>14</v>
      </c>
    </row>
    <row customHeight="1" ht="35.699999999999996">
      <c r="Q38" s="717"/>
      <c r="R38" s="717"/>
      <c r="S38" s="2614"/>
      <c r="T38" s="2550"/>
      <c r="U38" s="1372"/>
      <c r="V38" s="1824" t="s">
        <v>600</v>
      </c>
      <c r="W38" s="2603" t="s">
        <v>547</v>
      </c>
      <c r="X38" s="2604"/>
      <c r="Y38" s="2603" t="s">
        <v>548</v>
      </c>
      <c r="Z38" s="2610"/>
      <c r="AA38" s="2604"/>
      <c r="AB38" s="2619"/>
      <c r="AC38" s="1824" t="s">
        <v>600</v>
      </c>
      <c r="AD38" s="2603" t="s">
        <v>547</v>
      </c>
      <c r="AE38" s="2604"/>
      <c r="AF38" s="2603" t="s">
        <v>548</v>
      </c>
      <c r="AG38" s="2610"/>
      <c r="AH38" s="2604"/>
      <c r="AI38" s="2619"/>
      <c r="AJ38" s="2622"/>
      <c r="AK38" s="2468"/>
      <c r="AQ38" s="1496">
        <v>34</v>
      </c>
    </row>
    <row customHeight="1" ht="90.3">
      <c r="A39" s="1711"/>
      <c r="B39" s="1711" t="s">
        <v>176</v>
      </c>
      <c r="C39" s="1711" t="s">
        <v>177</v>
      </c>
      <c r="D39" s="1711" t="s">
        <v>178</v>
      </c>
      <c r="E39" s="1705" t="s">
        <v>549</v>
      </c>
      <c r="F39" s="1705" t="s">
        <v>550</v>
      </c>
      <c r="G39" s="1705" t="s">
        <v>551</v>
      </c>
      <c r="H39" s="1705"/>
      <c r="I39" s="1705" t="s">
        <v>601</v>
      </c>
      <c r="J39" s="1705" t="s">
        <v>554</v>
      </c>
      <c r="K39" s="1705" t="s">
        <v>602</v>
      </c>
      <c r="L39" s="1705" t="s">
        <v>530</v>
      </c>
      <c r="Q39" s="717"/>
      <c r="R39" s="717"/>
      <c r="S39" s="2614"/>
      <c r="T39" s="2550"/>
      <c r="U39" s="643"/>
      <c r="V39" s="1824" t="s">
        <v>630</v>
      </c>
      <c r="W39" s="1563" t="s">
        <v>631</v>
      </c>
      <c r="X39" s="1563" t="s">
        <v>605</v>
      </c>
      <c r="Y39" s="1830" t="s">
        <v>558</v>
      </c>
      <c r="Z39" s="2611" t="s">
        <v>559</v>
      </c>
      <c r="AA39" s="2612"/>
      <c r="AB39" s="2620"/>
      <c r="AC39" s="1824" t="s">
        <v>630</v>
      </c>
      <c r="AD39" s="1563" t="s">
        <v>631</v>
      </c>
      <c r="AE39" s="1563" t="s">
        <v>605</v>
      </c>
      <c r="AF39" s="1830" t="s">
        <v>558</v>
      </c>
      <c r="AG39" s="2611" t="s">
        <v>559</v>
      </c>
      <c r="AH39" s="2612"/>
      <c r="AI39" s="2620"/>
      <c r="AJ39" s="2623"/>
      <c r="AK39" s="2468"/>
      <c r="AQ39" s="1496">
        <v>86</v>
      </c>
    </row>
    <row s="2235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145</v>
      </c>
      <c r="T40" s="1596" t="s">
        <v>103</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385</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164</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385</v>
      </c>
      <c r="B42" s="1704" t="s">
        <v>386</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511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512</v>
      </c>
      <c r="AM42" s="841"/>
      <c r="AN42" s="841" t="str">
        <f>IF(T42="","",T42)</f>
        <v>Территория действия тарифа</v>
      </c>
      <c r="AO42" s="841"/>
      <c r="AP42" s="841"/>
      <c r="AQ42" s="1496">
        <v>23</v>
      </c>
    </row>
    <row customHeight="1" ht="24">
      <c r="A43" s="1704" t="s">
        <v>385</v>
      </c>
      <c r="B43" s="1704" t="s">
        <v>386</v>
      </c>
      <c r="C43" s="1704" t="s">
        <v>387</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628</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629</v>
      </c>
      <c r="AM43" s="841"/>
      <c r="AN43" s="841" t="str">
        <f>IF(T43="","",T43)</f>
        <v>Наименование централизованной системы водоотведения</v>
      </c>
      <c r="AO43" s="841"/>
      <c r="AP43" s="841"/>
      <c r="AQ43" s="1496">
        <v>23</v>
      </c>
    </row>
    <row customHeight="1" ht="24">
      <c r="A44" s="1704" t="s">
        <v>385</v>
      </c>
      <c r="B44" s="1704" t="s">
        <v>386</v>
      </c>
      <c r="C44" s="1704" t="s">
        <v>387</v>
      </c>
      <c r="D44" s="1704" t="s">
        <v>633</v>
      </c>
      <c r="E44" s="2600"/>
      <c r="F44" s="2600"/>
      <c r="G44" s="2600"/>
      <c r="H44" s="2600"/>
      <c r="I44" s="2597" t="str">
        <f>S43&amp;".1"</f>
        <v>...1</v>
      </c>
      <c r="J44" s="1704"/>
      <c r="K44" s="1704"/>
      <c r="L44" s="1705"/>
      <c r="P44" s="2598">
        <v>1</v>
      </c>
      <c r="Q44" s="1822"/>
      <c r="R44" s="697"/>
      <c r="S44" s="1834" t="str">
        <f>$I44</f>
        <v>...1</v>
      </c>
      <c r="T44" s="626" t="s">
        <v>594</v>
      </c>
      <c r="U44" s="641"/>
      <c r="V44" s="2691"/>
      <c r="W44" s="2692"/>
      <c r="X44" s="2692"/>
      <c r="Y44" s="2692"/>
      <c r="Z44" s="2692"/>
      <c r="AA44" s="2692"/>
      <c r="AB44" s="2693"/>
      <c r="AC44" s="2694"/>
      <c r="AD44" s="2695"/>
      <c r="AE44" s="2695"/>
      <c r="AF44" s="2695"/>
      <c r="AG44" s="2695"/>
      <c r="AH44" s="2695"/>
      <c r="AI44" s="2695"/>
      <c r="AJ44" s="2696"/>
      <c r="AK44" s="1599" t="s">
        <v>595</v>
      </c>
      <c r="AM44" s="841"/>
      <c r="AN44" s="841" t="str">
        <f>IF(T44="","",T44)</f>
        <v>Наименование признака дифференциации</v>
      </c>
      <c r="AO44" s="841"/>
      <c r="AP44" s="841"/>
      <c r="AQ44" s="1496">
        <v>23</v>
      </c>
    </row>
    <row customHeight="1" ht="24">
      <c r="A45" s="1704" t="s">
        <v>385</v>
      </c>
      <c r="B45" s="1704" t="s">
        <v>386</v>
      </c>
      <c r="C45" s="1704" t="s">
        <v>387</v>
      </c>
      <c r="D45" s="1704" t="s">
        <v>633</v>
      </c>
      <c r="E45" s="2600"/>
      <c r="F45" s="2600"/>
      <c r="G45" s="2600"/>
      <c r="H45" s="2600"/>
      <c r="I45" s="2627"/>
      <c r="J45" s="2597" t="str">
        <f>I44&amp;".1"</f>
        <v>...1.1</v>
      </c>
      <c r="K45" s="1704"/>
      <c r="L45" s="1705" t="s">
        <v>520</v>
      </c>
      <c r="P45" s="2598"/>
      <c r="Q45" s="2598">
        <v>1</v>
      </c>
      <c r="R45" s="698"/>
      <c r="S45" s="1834" t="str">
        <f>$J45</f>
        <v>...1.1</v>
      </c>
      <c r="T45" s="627" t="s">
        <v>521</v>
      </c>
      <c r="U45" s="641"/>
      <c r="V45" s="2586"/>
      <c r="W45" s="2587"/>
      <c r="X45" s="2587"/>
      <c r="Y45" s="2587"/>
      <c r="Z45" s="2587"/>
      <c r="AA45" s="2587"/>
      <c r="AB45" s="2588"/>
      <c r="AC45" s="2586"/>
      <c r="AD45" s="2587"/>
      <c r="AE45" s="2587"/>
      <c r="AF45" s="2587"/>
      <c r="AG45" s="2587"/>
      <c r="AH45" s="2587"/>
      <c r="AI45" s="2587"/>
      <c r="AJ45" s="2588"/>
      <c r="AK45" s="1648" t="s">
        <v>596</v>
      </c>
      <c r="AM45" s="841"/>
      <c r="AN45" s="841" t="str">
        <f>IF(T45="","",T45)</f>
        <v>Группа потребителей</v>
      </c>
      <c r="AO45" s="841"/>
      <c r="AP45" s="841"/>
      <c r="AQ45" s="1496">
        <v>23</v>
      </c>
    </row>
    <row customHeight="1" ht="24">
      <c r="A46" s="1704" t="s">
        <v>385</v>
      </c>
      <c r="B46" s="1704" t="s">
        <v>386</v>
      </c>
      <c r="C46" s="1704" t="s">
        <v>387</v>
      </c>
      <c r="D46" s="1704" t="s">
        <v>633</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385</v>
      </c>
      <c r="B47" s="1704" t="s">
        <v>386</v>
      </c>
      <c r="C47" s="1704" t="s">
        <v>387</v>
      </c>
      <c r="D47" s="1704" t="s">
        <v>633</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385</v>
      </c>
      <c r="B48" s="1704" t="s">
        <v>386</v>
      </c>
      <c r="C48" s="1704" t="s">
        <v>387</v>
      </c>
      <c r="D48" s="1704" t="s">
        <v>633</v>
      </c>
      <c r="E48" s="2600"/>
      <c r="F48" s="2600"/>
      <c r="G48" s="2600"/>
      <c r="H48" s="2600"/>
      <c r="I48" s="2627"/>
      <c r="J48" s="2597"/>
      <c r="K48" s="1704"/>
      <c r="L48" s="1705"/>
      <c r="P48" s="2598"/>
      <c r="Q48" s="2598"/>
      <c r="R48" s="697"/>
      <c r="S48" s="1619"/>
      <c r="T48" s="628" t="s">
        <v>597</v>
      </c>
      <c r="U48" s="708"/>
      <c r="V48" s="708"/>
      <c r="W48" s="708"/>
      <c r="X48" s="708"/>
      <c r="Y48" s="708"/>
      <c r="Z48" s="708"/>
      <c r="AA48" s="708"/>
      <c r="AB48" s="708"/>
      <c r="AC48" s="708"/>
      <c r="AD48" s="708"/>
      <c r="AE48" s="708"/>
      <c r="AF48" s="708"/>
      <c r="AG48" s="708"/>
      <c r="AH48" s="708"/>
      <c r="AI48" s="708"/>
      <c r="AJ48" s="708"/>
      <c r="AK48" s="1599" t="s">
        <v>598</v>
      </c>
      <c r="AM48" s="841"/>
      <c r="AN48" s="841" t="str">
        <f>IF(T48="","",T48)</f>
        <v>Добавить значение признака дифференциации</v>
      </c>
      <c r="AO48" s="841"/>
      <c r="AP48" s="841"/>
      <c r="AQ48" s="1496">
        <v>20</v>
      </c>
    </row>
    <row customHeight="1" ht="22.049999999999997">
      <c r="A49" s="1704" t="s">
        <v>385</v>
      </c>
      <c r="B49" s="1704" t="s">
        <v>386</v>
      </c>
      <c r="C49" s="1704" t="s">
        <v>387</v>
      </c>
      <c r="D49" s="1704" t="s">
        <v>633</v>
      </c>
      <c r="E49" s="2600"/>
      <c r="F49" s="2600"/>
      <c r="G49" s="2600"/>
      <c r="H49" s="2600"/>
      <c r="I49" s="2597"/>
      <c r="J49" s="1704"/>
      <c r="K49" s="1704"/>
      <c r="L49" s="1705"/>
      <c r="P49" s="2598"/>
      <c r="Q49" s="1822"/>
      <c r="R49" s="697"/>
      <c r="S49" s="1619"/>
      <c r="T49" s="706" t="s">
        <v>526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385</v>
      </c>
      <c r="B50" s="1704" t="s">
        <v>386</v>
      </c>
      <c r="C50" s="1704" t="s">
        <v>387</v>
      </c>
      <c r="D50" s="1704" t="s">
        <v>633</v>
      </c>
      <c r="E50" s="2600"/>
      <c r="F50" s="2600"/>
      <c r="G50" s="2600"/>
      <c r="H50" s="2599"/>
      <c r="I50" s="1704"/>
      <c r="J50" s="1704"/>
      <c r="K50" s="1704"/>
      <c r="L50" s="1705"/>
      <c r="M50" s="1706"/>
      <c r="N50" s="1706"/>
      <c r="O50" s="878"/>
      <c r="P50" s="701"/>
      <c r="Q50" s="716"/>
      <c r="R50" s="696"/>
      <c r="S50" s="1619"/>
      <c r="T50" s="713" t="s">
        <v>599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21688" customFormat="1" customHeight="1" ht="0">
      <c r="A51" s="1684" t="s">
        <v>385</v>
      </c>
      <c r="B51" s="1684" t="s">
        <v>386</v>
      </c>
      <c r="C51" s="1655"/>
      <c r="D51" s="1655"/>
      <c r="E51" s="2600"/>
      <c r="F51" s="2599"/>
      <c r="G51" s="1655"/>
      <c r="H51" s="1655"/>
      <c r="I51" s="1655"/>
      <c r="J51" s="1655"/>
      <c r="K51" s="1655"/>
      <c r="L51" s="1835"/>
      <c r="M51" s="1662"/>
      <c r="N51" s="1662"/>
      <c r="P51" s="1657"/>
      <c r="Q51" s="1658"/>
      <c r="R51" s="1657"/>
      <c r="S51" s="1663"/>
      <c r="T51" s="1666" t="s">
        <v>280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21688" customFormat="1" customHeight="1" ht="0">
      <c r="A52" s="1684" t="s">
        <v>385</v>
      </c>
      <c r="B52" s="1684"/>
      <c r="C52" s="1684"/>
      <c r="D52" s="1684"/>
      <c r="E52" s="2599"/>
      <c r="F52" s="1684"/>
      <c r="G52" s="1684"/>
      <c r="H52" s="1684"/>
      <c r="I52" s="1684"/>
      <c r="J52" s="1684"/>
      <c r="K52" s="1684"/>
      <c r="L52" s="1687"/>
      <c r="M52" s="1662"/>
      <c r="N52" s="1662"/>
      <c r="O52" s="859"/>
      <c r="P52" s="721"/>
      <c r="Q52" s="1685"/>
      <c r="R52" s="721"/>
      <c r="S52" s="1663"/>
      <c r="T52" s="1666" t="s">
        <v>339</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21688"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340</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4C1FA-CCCF-6871-62AE-1BD53ECA4B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1687" width="11.57421875" hidden="1" customWidth="1"/>
    <col min="2" max="2" style="21687" width="11.00390625" hidden="1" customWidth="1"/>
    <col min="3" max="3" style="21687" width="10.57421875" hidden="1"/>
    <col min="4" max="4" style="21687" width="12.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3" width="3.7109375" hidden="1" customWidth="1"/>
    <col min="17" max="17" style="22778" width="3.7109375" hidden="1" customWidth="1"/>
    <col min="18" max="18" style="22595" width="3.00390625" customWidth="1"/>
    <col min="19" max="19" style="22596" width="12.00390625" customWidth="1"/>
    <col min="20" max="20" style="21605" width="31.00390625" customWidth="1"/>
    <col min="21" max="21" style="21605" width="0.140625" customWidth="1"/>
    <col min="22" max="25" style="21605" width="21.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3.7109375" customWidth="1"/>
    <col min="31" max="32" style="21605" width="3.00390625" customWidth="1"/>
    <col min="33" max="33" style="21605" width="24.00390625" customWidth="1"/>
    <col min="34" max="34" style="21605" width="3.7109375" customWidth="1"/>
    <col min="35" max="36" style="21605" width="3.00390625" customWidth="1"/>
    <col min="37" max="37" style="21605" width="24.00390625" customWidth="1"/>
    <col min="38" max="38" style="21605" width="3.7109375" customWidth="1"/>
    <col min="39" max="40" style="21605" width="3.00390625" customWidth="1"/>
    <col min="41" max="41" style="21605" width="18.00390625" customWidth="1"/>
    <col min="42" max="42" style="21605" width="3.7109375" customWidth="1"/>
    <col min="43" max="44" style="21605" width="3.00390625" customWidth="1"/>
    <col min="45" max="45" style="21605" width="18.00390625" customWidth="1"/>
    <col min="46" max="49" style="21605" width="21.00390625" customWidth="1"/>
    <col min="50" max="50" style="21605" width="11.00390625" customWidth="1"/>
    <col min="51" max="51" style="21605" width="3.7109375" customWidth="1"/>
    <col min="52" max="52" style="21605" width="11.00390625" customWidth="1"/>
    <col min="53" max="53" style="21605" width="8.57421875" hidden="1" customWidth="1"/>
    <col min="54" max="54" style="21605" width="4.00390625" customWidth="1"/>
    <col min="55" max="55" style="21605" width="115.00390625" customWidth="1"/>
    <col min="56" max="60" style="21688" width="10.00390625" customWidth="1"/>
    <col min="61" max="61" style="21605"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164</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511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512</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628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629</v>
      </c>
      <c r="BE4" s="841"/>
      <c r="BF4" s="841" t="str">
        <f>IF(T4="","",T4)</f>
        <v>Наименование централизованной системы водоотведения</v>
      </c>
      <c r="BG4" s="841"/>
      <c r="BH4" s="841"/>
      <c r="BI4" s="1496">
        <v>0</v>
      </c>
    </row>
    <row s="2168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516</v>
      </c>
      <c r="BE5" s="841"/>
      <c r="BF5" s="841" t="str">
        <f>IF(T5="","",T5)</f>
        <v/>
      </c>
      <c r="BG5" s="841"/>
      <c r="BH5" s="841"/>
      <c r="BI5" s="852">
        <v>0</v>
      </c>
    </row>
    <row s="21688" customFormat="1" customHeight="1" ht="14.25" hidden="1">
      <c r="A6" s="1684"/>
      <c r="B6" s="1684"/>
      <c r="C6" s="1684"/>
      <c r="D6" s="1684"/>
      <c r="E6" s="2600"/>
      <c r="F6" s="2600"/>
      <c r="G6" s="2600"/>
      <c r="H6" s="2600"/>
      <c r="I6" s="2597" t="str">
        <f>S5&amp;".1"</f>
        <v>.1</v>
      </c>
      <c r="J6" s="1684"/>
      <c r="K6" s="1684"/>
      <c r="L6" s="1687" t="s">
        <v>517</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68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613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614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634</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635</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617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579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688"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68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688"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688"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280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68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339</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529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2749" customFormat="1" customHeight="1" ht="14.25" hidden="1">
      <c r="M24" s="1849"/>
      <c r="N24" s="1849"/>
      <c r="O24" s="1850" t="s">
        <v>530</v>
      </c>
      <c r="P24" s="1849"/>
      <c r="Q24" s="1851"/>
      <c r="R24" s="1851"/>
      <c r="AA24" s="1848" t="s">
        <v>532</v>
      </c>
      <c r="AC24" s="1848" t="s">
        <v>533</v>
      </c>
      <c r="AD24" s="1848" t="s">
        <v>580</v>
      </c>
      <c r="AH24" s="1848" t="s">
        <v>580</v>
      </c>
      <c r="AK24" s="1848" t="s">
        <v>618</v>
      </c>
      <c r="AL24" s="1848" t="s">
        <v>580</v>
      </c>
      <c r="AP24" s="1848" t="s">
        <v>580</v>
      </c>
      <c r="AY24" s="1848" t="s">
        <v>532</v>
      </c>
      <c r="BA24" s="1848" t="s">
        <v>533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2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2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535</v>
      </c>
      <c r="T32" s="2591"/>
      <c r="U32" s="1713"/>
      <c r="V32" s="2605" t="str">
        <f>IF(TITLE_DATE_PR_CHANGE="",IF(TITLE_DATE_PR="","",TITLE_DATE_PR),TITLE_DATE_PR_CHANGE)</f>
        <v>45408.52040509259</v>
      </c>
      <c r="W32" s="2605"/>
      <c r="X32" s="2605"/>
      <c r="Y32" s="2605"/>
      <c r="Z32" s="2605"/>
      <c r="AA32" s="2605"/>
      <c r="AB32" s="2605"/>
      <c r="AC32" s="667"/>
      <c r="AD32" s="2605" t="str">
        <f>IF(TITLE_DATE_PR_CHANGE="",IF(TITLE_DATE_PR="","",TITLE_DATE_PR),TITLE_DATE_PR_CHANGE)</f>
        <v>45408.52040509259</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2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536</v>
      </c>
      <c r="T33" s="2591"/>
      <c r="U33" s="1713"/>
      <c r="V33" s="2592" t="str">
        <f>IF(TITLE_NUMBER_PR_CHANGE="",IF(TITLE_NUMBER_PR="","",TITLE_NUMBER_PR),TITLE_NUMBER_PR_CHANGE)</f>
        <v>27-2139</v>
      </c>
      <c r="W33" s="2592"/>
      <c r="X33" s="2592"/>
      <c r="Y33" s="2592"/>
      <c r="Z33" s="2592"/>
      <c r="AA33" s="2592"/>
      <c r="AB33" s="2592"/>
      <c r="AC33" s="667"/>
      <c r="AD33" s="2592" t="str">
        <f>IF(TITLE_NUMBER_PR_CHANGE="",IF(TITLE_NUMBER_PR="","",TITLE_NUMBER_PR),TITLE_NUMBER_PR_CHANGE)</f>
        <v>27-2139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2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25" customFormat="1" customHeight="1" ht="18.75">
      <c r="A36" s="1709"/>
      <c r="B36" s="1709"/>
      <c r="C36" s="1709"/>
      <c r="D36" s="1709"/>
      <c r="E36" s="1709"/>
      <c r="F36" s="1709"/>
      <c r="G36" s="1709"/>
      <c r="H36" s="1709"/>
      <c r="I36" s="1709"/>
      <c r="J36" s="1709"/>
      <c r="K36" s="1709"/>
      <c r="L36" s="1710"/>
      <c r="M36" s="1709"/>
      <c r="N36" s="1709"/>
      <c r="O36" s="1709"/>
      <c r="P36" s="1709"/>
      <c r="Q36" s="1709"/>
      <c r="S36" s="2591" t="s">
        <v>535</v>
      </c>
      <c r="T36" s="2591"/>
      <c r="U36" s="1713"/>
      <c r="V36" s="2605" t="str">
        <f>IF(TITLE_DATE_PR_CHANGE="",IF(TITLE_DATE_PR="","",TITLE_DATE_PR),TITLE_DATE_PR_CHANGE)</f>
        <v>45408.52040509259</v>
      </c>
      <c r="W36" s="2605"/>
      <c r="X36" s="2605"/>
      <c r="Y36" s="2605"/>
      <c r="Z36" s="2605"/>
      <c r="AA36" s="2605"/>
      <c r="AB36" s="2605"/>
      <c r="AC36" s="667"/>
      <c r="AD36" s="2605" t="str">
        <f>IF(TITLE_DATE_PR_CHANGE="",IF(TITLE_DATE_PR="","",TITLE_DATE_PR),TITLE_DATE_PR_CHANGE)</f>
        <v>45408.52040509259</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25" customFormat="1" customHeight="1" ht="18.75">
      <c r="A37" s="1709"/>
      <c r="B37" s="1709"/>
      <c r="C37" s="1709"/>
      <c r="D37" s="1709"/>
      <c r="E37" s="1709"/>
      <c r="F37" s="1709"/>
      <c r="G37" s="1709"/>
      <c r="H37" s="1709"/>
      <c r="I37" s="1709"/>
      <c r="J37" s="1709"/>
      <c r="K37" s="1709"/>
      <c r="L37" s="1710"/>
      <c r="M37" s="1709"/>
      <c r="N37" s="1709"/>
      <c r="O37" s="1709"/>
      <c r="P37" s="1709"/>
      <c r="Q37" s="1709"/>
      <c r="S37" s="2591" t="s">
        <v>536</v>
      </c>
      <c r="T37" s="2591"/>
      <c r="U37" s="1713"/>
      <c r="V37" s="2592" t="str">
        <f>IF(TITLE_NUMBER_PR_CHANGE="",IF(TITLE_NUMBER_PR="","",TITLE_NUMBER_PR),TITLE_NUMBER_PR_CHANGE)</f>
        <v>27-2139</v>
      </c>
      <c r="W37" s="2592"/>
      <c r="X37" s="2592"/>
      <c r="Y37" s="2592"/>
      <c r="Z37" s="2592"/>
      <c r="AA37" s="2592"/>
      <c r="AB37" s="2592"/>
      <c r="AC37" s="667"/>
      <c r="AD37" s="2592" t="str">
        <f>IF(TITLE_NUMBER_PR_CHANGE="",IF(TITLE_NUMBER_PR="","",TITLE_NUMBER_PR),TITLE_NUMBER_PR_CHANGE)</f>
        <v>27-2139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2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539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539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414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415</v>
      </c>
      <c r="BI40" s="1496">
        <v>14</v>
      </c>
    </row>
    <row customHeight="1" ht="14.699999999999998">
      <c r="Q41" s="632"/>
      <c r="R41" s="717"/>
      <c r="S41" s="2614" t="s">
        <v>88</v>
      </c>
      <c r="T41" s="2550" t="s">
        <v>619</v>
      </c>
      <c r="U41" s="642"/>
      <c r="V41" s="2615" t="s">
        <v>541</v>
      </c>
      <c r="W41" s="2616"/>
      <c r="X41" s="2616"/>
      <c r="Y41" s="2616"/>
      <c r="Z41" s="2616"/>
      <c r="AA41" s="2616"/>
      <c r="AB41" s="2617"/>
      <c r="AC41" s="2618" t="s">
        <v>542</v>
      </c>
      <c r="AD41" s="2669" t="s">
        <v>636</v>
      </c>
      <c r="AE41" s="2632"/>
      <c r="AF41" s="2632"/>
      <c r="AG41" s="2670"/>
      <c r="AH41" s="2669" t="s">
        <v>637</v>
      </c>
      <c r="AI41" s="2632"/>
      <c r="AJ41" s="2632"/>
      <c r="AK41" s="2670"/>
      <c r="AL41" s="2669" t="s">
        <v>638</v>
      </c>
      <c r="AM41" s="2632"/>
      <c r="AN41" s="2632"/>
      <c r="AO41" s="2670"/>
      <c r="AP41" s="2669" t="s">
        <v>623</v>
      </c>
      <c r="AQ41" s="2632"/>
      <c r="AR41" s="2632"/>
      <c r="AS41" s="2670"/>
      <c r="AT41" s="2615" t="s">
        <v>541</v>
      </c>
      <c r="AU41" s="2616"/>
      <c r="AV41" s="2616"/>
      <c r="AW41" s="2616"/>
      <c r="AX41" s="2616"/>
      <c r="AY41" s="2616"/>
      <c r="AZ41" s="2617"/>
      <c r="BA41" s="2618" t="s">
        <v>542</v>
      </c>
      <c r="BB41" s="2621" t="s">
        <v>544</v>
      </c>
      <c r="BC41" s="2468"/>
      <c r="BI41" s="1496">
        <v>14</v>
      </c>
    </row>
    <row customHeight="1" ht="35.699999999999996">
      <c r="Q42" s="632"/>
      <c r="R42" s="717"/>
      <c r="S42" s="2614"/>
      <c r="T42" s="2550"/>
      <c r="U42" s="1372"/>
      <c r="V42" s="2533" t="s">
        <v>624</v>
      </c>
      <c r="W42" s="2534"/>
      <c r="X42" s="2533" t="s">
        <v>625</v>
      </c>
      <c r="Y42" s="2534"/>
      <c r="Z42" s="2635" t="s">
        <v>626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639</v>
      </c>
      <c r="AU42" s="2534"/>
      <c r="AV42" s="2533" t="s">
        <v>640</v>
      </c>
      <c r="AW42" s="2534"/>
      <c r="AX42" s="2635" t="s">
        <v>626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176</v>
      </c>
      <c r="C44" s="1711" t="s">
        <v>177</v>
      </c>
      <c r="D44" s="1711" t="s">
        <v>178</v>
      </c>
      <c r="E44" s="1705" t="s">
        <v>549</v>
      </c>
      <c r="F44" s="1705" t="s">
        <v>550</v>
      </c>
      <c r="G44" s="1705" t="s">
        <v>551</v>
      </c>
      <c r="H44" s="1705" t="s">
        <v>552</v>
      </c>
      <c r="I44" s="1705" t="s">
        <v>553</v>
      </c>
      <c r="J44" s="1705" t="s">
        <v>554</v>
      </c>
      <c r="K44" s="1705" t="s">
        <v>555</v>
      </c>
      <c r="L44" s="1705" t="s">
        <v>530</v>
      </c>
      <c r="Q44" s="632"/>
      <c r="R44" s="717"/>
      <c r="S44" s="2614"/>
      <c r="T44" s="2550"/>
      <c r="U44" s="643"/>
      <c r="V44" s="1820" t="s">
        <v>589</v>
      </c>
      <c r="W44" s="1820" t="s">
        <v>590</v>
      </c>
      <c r="X44" s="1820" t="s">
        <v>589</v>
      </c>
      <c r="Y44" s="1820" t="s">
        <v>590</v>
      </c>
      <c r="Z44" s="1830" t="s">
        <v>558</v>
      </c>
      <c r="AA44" s="2611" t="s">
        <v>559</v>
      </c>
      <c r="AB44" s="2612"/>
      <c r="AC44" s="2620"/>
      <c r="AD44" s="2674"/>
      <c r="AE44" s="2675"/>
      <c r="AF44" s="2675"/>
      <c r="AG44" s="2676"/>
      <c r="AH44" s="2674"/>
      <c r="AI44" s="2675"/>
      <c r="AJ44" s="2675"/>
      <c r="AK44" s="2676"/>
      <c r="AL44" s="2674"/>
      <c r="AM44" s="2675"/>
      <c r="AN44" s="2675"/>
      <c r="AO44" s="2676"/>
      <c r="AP44" s="2674"/>
      <c r="AQ44" s="2675"/>
      <c r="AR44" s="2675"/>
      <c r="AS44" s="2676"/>
      <c r="AT44" s="1820" t="s">
        <v>589</v>
      </c>
      <c r="AU44" s="1820" t="s">
        <v>590</v>
      </c>
      <c r="AV44" s="1820" t="s">
        <v>589</v>
      </c>
      <c r="AW44" s="1820" t="s">
        <v>590</v>
      </c>
      <c r="AX44" s="1830" t="s">
        <v>558</v>
      </c>
      <c r="AY44" s="2611" t="s">
        <v>559</v>
      </c>
      <c r="AZ44" s="2612"/>
      <c r="BA44" s="2620"/>
      <c r="BB44" s="2623"/>
      <c r="BC44" s="2468"/>
      <c r="BI44" s="1496">
        <v>14</v>
      </c>
    </row>
    <row s="22350"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145</v>
      </c>
      <c r="T45" s="1596" t="s">
        <v>103</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390</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164</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390</v>
      </c>
      <c r="B47" s="1704" t="s">
        <v>391</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511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512</v>
      </c>
      <c r="BE47" s="841"/>
      <c r="BF47" s="841" t="str">
        <f>IF(T47="","",T47)</f>
        <v>Территория действия тарифа</v>
      </c>
      <c r="BG47" s="841"/>
      <c r="BH47" s="841"/>
      <c r="BI47" s="1496">
        <v>21</v>
      </c>
    </row>
    <row customHeight="1" ht="35.699999999999996">
      <c r="A48" s="1704" t="s">
        <v>390</v>
      </c>
      <c r="B48" s="1704" t="s">
        <v>391</v>
      </c>
      <c r="C48" s="1704" t="s">
        <v>392</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628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629</v>
      </c>
      <c r="BE48" s="841"/>
      <c r="BF48" s="841" t="str">
        <f>IF(T48="","",T48)</f>
        <v>Наименование централизованной системы водоотведения</v>
      </c>
      <c r="BG48" s="841"/>
      <c r="BH48" s="841"/>
      <c r="BI48" s="1496">
        <v>34</v>
      </c>
    </row>
    <row s="21688" customFormat="1" customHeight="1" ht="0">
      <c r="A49" s="1684" t="s">
        <v>390</v>
      </c>
      <c r="B49" s="1684" t="s">
        <v>391</v>
      </c>
      <c r="C49" s="1684" t="s">
        <v>392</v>
      </c>
      <c r="D49" s="1684" t="s">
        <v>641</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516</v>
      </c>
      <c r="BE49" s="841"/>
      <c r="BF49" s="841" t="str">
        <f>IF(T49="","",T49)</f>
        <v/>
      </c>
      <c r="BG49" s="841"/>
      <c r="BH49" s="841"/>
      <c r="BI49" s="852">
        <v>0</v>
      </c>
    </row>
    <row s="21688" customFormat="1" customHeight="1" ht="0">
      <c r="A50" s="1684" t="s">
        <v>390</v>
      </c>
      <c r="B50" s="1684" t="s">
        <v>391</v>
      </c>
      <c r="C50" s="1684" t="s">
        <v>392</v>
      </c>
      <c r="D50" s="1684" t="s">
        <v>641</v>
      </c>
      <c r="E50" s="2600"/>
      <c r="F50" s="2600"/>
      <c r="G50" s="2600"/>
      <c r="H50" s="2600"/>
      <c r="I50" s="2597" t="str">
        <f>S49&amp;".1"</f>
        <v>.1</v>
      </c>
      <c r="J50" s="1684"/>
      <c r="K50" s="1684"/>
      <c r="L50" s="1687" t="s">
        <v>517</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688" customFormat="1" customHeight="1" ht="0">
      <c r="A51" s="1684" t="s">
        <v>390</v>
      </c>
      <c r="B51" s="1684" t="s">
        <v>391</v>
      </c>
      <c r="C51" s="1684" t="s">
        <v>392</v>
      </c>
      <c r="D51" s="1684" t="s">
        <v>641</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390</v>
      </c>
      <c r="B52" s="1704" t="s">
        <v>391</v>
      </c>
      <c r="C52" s="1704" t="s">
        <v>392</v>
      </c>
      <c r="D52" s="1704" t="s">
        <v>641</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613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614</v>
      </c>
      <c r="AT53" s="1734"/>
      <c r="AU53" s="1837"/>
      <c r="AV53" s="1734"/>
      <c r="AW53" s="1837"/>
      <c r="AX53" s="1734"/>
      <c r="AY53" s="1734"/>
      <c r="AZ53" s="1734"/>
      <c r="BA53" s="1734"/>
      <c r="BB53" s="1738"/>
      <c r="BC53" s="2595"/>
      <c r="BE53" s="841"/>
      <c r="BF53" s="841"/>
      <c r="BG53" s="841"/>
      <c r="BH53" s="841"/>
      <c r="BI53" s="1496">
        <v>11</v>
      </c>
    </row>
    <row customHeight="1" ht="11.549999999999999">
      <c r="A54" s="1704" t="s">
        <v>390</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634</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390</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635</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390</v>
      </c>
      <c r="B56" s="1704" t="s">
        <v>391</v>
      </c>
      <c r="C56" s="1704" t="s">
        <v>392</v>
      </c>
      <c r="D56" s="1704" t="s">
        <v>641</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617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390</v>
      </c>
      <c r="B57" s="1704" t="s">
        <v>391</v>
      </c>
      <c r="C57" s="1704" t="s">
        <v>392</v>
      </c>
      <c r="D57" s="1704" t="s">
        <v>641</v>
      </c>
      <c r="E57" s="2600"/>
      <c r="F57" s="2600"/>
      <c r="G57" s="2600"/>
      <c r="H57" s="2600"/>
      <c r="I57" s="2627"/>
      <c r="J57" s="2597"/>
      <c r="K57" s="1704"/>
      <c r="L57" s="1705"/>
      <c r="P57" s="2598"/>
      <c r="Q57" s="2598"/>
      <c r="R57" s="697"/>
      <c r="S57" s="1619"/>
      <c r="T57" s="628" t="s">
        <v>579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688" customFormat="1" customHeight="1" ht="0">
      <c r="A58" s="1684" t="s">
        <v>390</v>
      </c>
      <c r="B58" s="1684" t="s">
        <v>391</v>
      </c>
      <c r="C58" s="1684" t="s">
        <v>392</v>
      </c>
      <c r="D58" s="1684" t="s">
        <v>641</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688" customFormat="1" customHeight="1" ht="0">
      <c r="A59" s="1684" t="s">
        <v>390</v>
      </c>
      <c r="B59" s="1684" t="s">
        <v>391</v>
      </c>
      <c r="C59" s="1684" t="s">
        <v>392</v>
      </c>
      <c r="D59" s="1684" t="s">
        <v>641</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688" customFormat="1" customHeight="1" ht="0">
      <c r="A60" s="1684" t="s">
        <v>390</v>
      </c>
      <c r="B60" s="1684" t="s">
        <v>391</v>
      </c>
      <c r="C60" s="1684" t="s">
        <v>392</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688" customFormat="1" customHeight="1" ht="0">
      <c r="A61" s="1684" t="s">
        <v>390</v>
      </c>
      <c r="B61" s="1684" t="s">
        <v>391</v>
      </c>
      <c r="C61" s="1655"/>
      <c r="D61" s="1655"/>
      <c r="E61" s="2600"/>
      <c r="F61" s="2599"/>
      <c r="G61" s="1655"/>
      <c r="H61" s="1655"/>
      <c r="I61" s="1655"/>
      <c r="J61" s="1655"/>
      <c r="K61" s="1655"/>
      <c r="L61" s="1835"/>
      <c r="M61" s="1662"/>
      <c r="N61" s="1662"/>
      <c r="P61" s="1657"/>
      <c r="Q61" s="1658"/>
      <c r="R61" s="1657"/>
      <c r="S61" s="1663"/>
      <c r="T61" s="1666" t="s">
        <v>280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688" customFormat="1" customHeight="1" ht="0">
      <c r="A62" s="1684" t="s">
        <v>390</v>
      </c>
      <c r="B62" s="1684"/>
      <c r="C62" s="1684"/>
      <c r="D62" s="1684"/>
      <c r="E62" s="2599"/>
      <c r="F62" s="1684"/>
      <c r="G62" s="1684"/>
      <c r="H62" s="1684"/>
      <c r="I62" s="1684"/>
      <c r="J62" s="1684"/>
      <c r="K62" s="1684"/>
      <c r="L62" s="1687"/>
      <c r="M62" s="1662"/>
      <c r="N62" s="1662"/>
      <c r="O62" s="859"/>
      <c r="P62" s="721"/>
      <c r="Q62" s="1685"/>
      <c r="R62" s="721"/>
      <c r="S62" s="1663"/>
      <c r="T62" s="1666" t="s">
        <v>339</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688"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340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C8E4-CC3E-4A75-52FC-330BD31F64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8" style="21605" width="19.7109375" hidden="1" customWidth="1"/>
    <col min="29" max="29" style="21605" width="11.7109375" hidden="1" customWidth="1"/>
    <col min="30" max="30" style="21605" width="3.7109375" hidden="1" customWidth="1"/>
    <col min="31" max="31" style="21605" width="11.7109375" hidden="1" customWidth="1"/>
    <col min="32" max="32" style="21605" width="8.57421875" hidden="1" customWidth="1"/>
    <col min="33" max="33" style="21605" width="19.7109375" customWidth="1"/>
    <col min="34" max="39" style="21605" width="19.00390625" customWidth="1"/>
    <col min="40" max="40" style="21605" width="11.00390625" customWidth="1"/>
    <col min="41" max="41" style="21605" width="3.7109375" customWidth="1"/>
    <col min="42" max="42" style="21605" width="11.00390625" customWidth="1"/>
    <col min="43" max="43" style="21605" width="8.57421875" hidden="1" customWidth="1"/>
    <col min="44" max="44" style="21605" width="4.00390625" customWidth="1"/>
    <col min="45" max="45" style="21605" width="115.00390625" customWidth="1"/>
    <col min="46" max="50" style="21688" width="10.00390625" customWidth="1"/>
    <col min="51" max="51" style="21605"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164</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511</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512</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642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643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594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595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520</v>
      </c>
      <c r="P6" s="2598"/>
      <c r="Q6" s="2598">
        <v>1</v>
      </c>
      <c r="R6" s="698"/>
      <c r="S6" s="1834">
        <f>$J6</f>
      </c>
      <c r="T6" s="627" t="s">
        <v>521</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596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598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526</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2168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21687" customFormat="1" customHeight="1" ht="22.5" hidden="1">
      <c r="L18" s="1819"/>
      <c r="M18" s="1703"/>
      <c r="N18" s="1703"/>
      <c r="O18" s="1708" t="s">
        <v>529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21687"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21687" customFormat="1" customHeight="1" ht="12" hidden="1">
      <c r="L20" s="1819"/>
      <c r="M20" s="1703"/>
      <c r="N20" s="1703"/>
      <c r="O20" s="1705" t="s">
        <v>530</v>
      </c>
      <c r="P20" s="1703"/>
      <c r="Q20" s="1783"/>
      <c r="R20" s="1783"/>
      <c r="S20" s="1070"/>
      <c r="T20" s="1501" t="s">
        <v>531</v>
      </c>
      <c r="W20" s="1707"/>
      <c r="X20" s="1707"/>
      <c r="Y20" s="1707"/>
      <c r="Z20" s="1707"/>
      <c r="AA20" s="1707"/>
      <c r="AB20" s="1707"/>
      <c r="AD20" s="527" t="s">
        <v>532</v>
      </c>
      <c r="AF20" s="527" t="s">
        <v>533</v>
      </c>
      <c r="AG20" s="1501" t="s">
        <v>531</v>
      </c>
      <c r="AH20" s="1707"/>
      <c r="AI20" s="1707"/>
      <c r="AJ20" s="1707"/>
      <c r="AK20" s="1707"/>
      <c r="AL20" s="1707"/>
      <c r="AO20" s="527" t="s">
        <v>534</v>
      </c>
      <c r="AQ20" s="527" t="s">
        <v>533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2605"/>
      <c r="AC28" s="2605"/>
      <c r="AD28" s="2605"/>
      <c r="AE28" s="2605"/>
      <c r="AF28" s="667"/>
      <c r="AG28" s="2605" t="str">
        <f>IF(TITLE_DATE_PR_CHANGE="",IF(TITLE_DATE_PR="","",TITLE_DATE_PR),TITLE_DATE_PR_CHANGE)</f>
        <v>45408.52040509259</v>
      </c>
      <c r="AH28" s="2605"/>
      <c r="AI28" s="2605"/>
      <c r="AJ28" s="2605"/>
      <c r="AK28" s="2605"/>
      <c r="AL28" s="2605"/>
      <c r="AM28" s="2605"/>
      <c r="AN28" s="2605"/>
      <c r="AO28" s="2605"/>
      <c r="AP28" s="2605"/>
      <c r="AQ28" s="667"/>
      <c r="AR28" s="667"/>
      <c r="AS28" s="621"/>
      <c r="AT28" s="709"/>
      <c r="AU28" s="709"/>
      <c r="AV28" s="709"/>
      <c r="AW28" s="709"/>
      <c r="AX28" s="709"/>
      <c r="AY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2592"/>
      <c r="AC29" s="2592"/>
      <c r="AD29" s="2592"/>
      <c r="AE29" s="2592"/>
      <c r="AF29" s="667"/>
      <c r="AG29" s="2592" t="str">
        <f>IF(TITLE_NUMBER_PR_CHANGE="",IF(TITLE_NUMBER_PR="","",TITLE_NUMBER_PR),TITLE_NUMBER_PR_CHANGE)</f>
        <v>27-2139</v>
      </c>
      <c r="AH29" s="2592"/>
      <c r="AI29" s="2592"/>
      <c r="AJ29" s="2592"/>
      <c r="AK29" s="2592"/>
      <c r="AL29" s="2592"/>
      <c r="AM29" s="2592"/>
      <c r="AN29" s="2592"/>
      <c r="AO29" s="2592"/>
      <c r="AP29" s="2592"/>
      <c r="AQ29" s="667"/>
      <c r="AR29" s="667"/>
      <c r="AS29" s="621"/>
      <c r="AT29" s="709"/>
      <c r="AU29" s="709"/>
      <c r="AV29" s="709"/>
      <c r="AW29" s="709"/>
      <c r="AX29" s="709"/>
      <c r="AY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2605"/>
      <c r="AC32" s="2605"/>
      <c r="AD32" s="2605"/>
      <c r="AE32" s="2605"/>
      <c r="AF32" s="667"/>
      <c r="AG32" s="2605" t="str">
        <f>IF(TITLE_DATE_PR_CHANGE="",IF(TITLE_DATE_PR="","",TITLE_DATE_PR),TITLE_DATE_PR_CHANGE)</f>
        <v>45408.52040509259</v>
      </c>
      <c r="AH32" s="2605"/>
      <c r="AI32" s="2605"/>
      <c r="AJ32" s="2605"/>
      <c r="AK32" s="2605"/>
      <c r="AL32" s="2605"/>
      <c r="AM32" s="2605"/>
      <c r="AN32" s="2605"/>
      <c r="AO32" s="2605"/>
      <c r="AP32" s="2605"/>
      <c r="AQ32" s="667"/>
      <c r="AR32" s="667"/>
      <c r="AS32" s="621"/>
      <c r="AT32" s="709"/>
      <c r="AU32" s="709"/>
      <c r="AV32" s="709"/>
      <c r="AW32" s="709"/>
      <c r="AX32" s="709"/>
      <c r="AY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2592"/>
      <c r="AC33" s="2592"/>
      <c r="AD33" s="2592"/>
      <c r="AE33" s="2592"/>
      <c r="AF33" s="667"/>
      <c r="AG33" s="2592" t="str">
        <f>IF(TITLE_NUMBER_PR_CHANGE="",IF(TITLE_NUMBER_PR="","",TITLE_NUMBER_PR),TITLE_NUMBER_PR_CHANGE)</f>
        <v>27-2139</v>
      </c>
      <c r="AH33" s="2592"/>
      <c r="AI33" s="2592"/>
      <c r="AJ33" s="2592"/>
      <c r="AK33" s="2592"/>
      <c r="AL33" s="2592"/>
      <c r="AM33" s="2592"/>
      <c r="AN33" s="2592"/>
      <c r="AO33" s="2592"/>
      <c r="AP33" s="2592"/>
      <c r="AQ33" s="667"/>
      <c r="AR33" s="667"/>
      <c r="AS33" s="621"/>
      <c r="AT33" s="709"/>
      <c r="AU33" s="709"/>
      <c r="AV33" s="709"/>
      <c r="AW33" s="709"/>
      <c r="AX33" s="709"/>
      <c r="AY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539</v>
      </c>
      <c r="AG34" s="667"/>
      <c r="AH34" s="1976"/>
      <c r="AI34" s="1976"/>
      <c r="AJ34" s="1976"/>
      <c r="AK34" s="1976"/>
      <c r="AL34" s="1976"/>
      <c r="AM34" s="667"/>
      <c r="AN34" s="667"/>
      <c r="AO34" s="667"/>
      <c r="AP34" s="667"/>
      <c r="AQ34" s="619" t="s">
        <v>539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415</v>
      </c>
      <c r="AY36" s="1496">
        <v>14</v>
      </c>
    </row>
    <row customHeight="1" ht="14.699999999999998">
      <c r="Q37" s="717"/>
      <c r="R37" s="717"/>
      <c r="S37" s="2614" t="s">
        <v>88</v>
      </c>
      <c r="T37" s="2550" t="s">
        <v>540</v>
      </c>
      <c r="U37" s="642"/>
      <c r="V37" s="2615" t="s">
        <v>541</v>
      </c>
      <c r="W37" s="2632"/>
      <c r="X37" s="2632"/>
      <c r="Y37" s="2632"/>
      <c r="Z37" s="2632"/>
      <c r="AA37" s="2632"/>
      <c r="AB37" s="2632"/>
      <c r="AC37" s="2616"/>
      <c r="AD37" s="2616"/>
      <c r="AE37" s="2617"/>
      <c r="AF37" s="2618" t="s">
        <v>542</v>
      </c>
      <c r="AG37" s="2615" t="s">
        <v>541</v>
      </c>
      <c r="AH37" s="2616"/>
      <c r="AI37" s="2616"/>
      <c r="AJ37" s="2616"/>
      <c r="AK37" s="2616"/>
      <c r="AL37" s="2616"/>
      <c r="AM37" s="2616"/>
      <c r="AN37" s="2616"/>
      <c r="AO37" s="2616"/>
      <c r="AP37" s="2617"/>
      <c r="AQ37" s="2618" t="s">
        <v>543</v>
      </c>
      <c r="AR37" s="2621" t="s">
        <v>544</v>
      </c>
      <c r="AS37" s="2468"/>
      <c r="AY37" s="1496">
        <v>14</v>
      </c>
    </row>
    <row customHeight="1" ht="19.95">
      <c r="Q38" s="717"/>
      <c r="R38" s="717"/>
      <c r="S38" s="2614"/>
      <c r="T38" s="2550"/>
      <c r="U38" s="1372"/>
      <c r="V38" s="2707" t="s">
        <v>644</v>
      </c>
      <c r="W38" s="2706" t="s">
        <v>645</v>
      </c>
      <c r="X38" s="2706"/>
      <c r="Y38" s="2706"/>
      <c r="Z38" s="2706" t="s">
        <v>646</v>
      </c>
      <c r="AA38" s="2706"/>
      <c r="AB38" s="2706"/>
      <c r="AC38" s="2635" t="s">
        <v>548</v>
      </c>
      <c r="AD38" s="2654"/>
      <c r="AE38" s="2655"/>
      <c r="AF38" s="2619"/>
      <c r="AG38" s="2707" t="s">
        <v>644</v>
      </c>
      <c r="AH38" s="2706" t="s">
        <v>645</v>
      </c>
      <c r="AI38" s="2706"/>
      <c r="AJ38" s="2706"/>
      <c r="AK38" s="2706" t="s">
        <v>646</v>
      </c>
      <c r="AL38" s="2706"/>
      <c r="AM38" s="2706"/>
      <c r="AN38" s="2635" t="s">
        <v>548</v>
      </c>
      <c r="AO38" s="2654"/>
      <c r="AP38" s="2655"/>
      <c r="AQ38" s="2619"/>
      <c r="AR38" s="2622"/>
      <c r="AS38" s="2468"/>
      <c r="AY38" s="1496">
        <v>19</v>
      </c>
    </row>
    <row s="21605"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647</v>
      </c>
      <c r="X39" s="2706" t="s">
        <v>648</v>
      </c>
      <c r="Y39" s="2706"/>
      <c r="Z39" s="2706" t="s">
        <v>649</v>
      </c>
      <c r="AA39" s="2706" t="s">
        <v>648</v>
      </c>
      <c r="AB39" s="2706"/>
      <c r="AC39" s="2636"/>
      <c r="AD39" s="2656"/>
      <c r="AE39" s="2657"/>
      <c r="AF39" s="2619"/>
      <c r="AG39" s="2707"/>
      <c r="AH39" s="2706" t="s">
        <v>647</v>
      </c>
      <c r="AI39" s="2706" t="s">
        <v>648</v>
      </c>
      <c r="AJ39" s="2706"/>
      <c r="AK39" s="2706" t="s">
        <v>649</v>
      </c>
      <c r="AL39" s="2706" t="s">
        <v>648</v>
      </c>
      <c r="AM39" s="2706"/>
      <c r="AN39" s="2636"/>
      <c r="AO39" s="2656"/>
      <c r="AP39" s="2657"/>
      <c r="AQ39" s="2619"/>
      <c r="AR39" s="2622"/>
      <c r="AS39" s="2468"/>
      <c r="AT39" s="1977"/>
      <c r="AU39" s="1977"/>
      <c r="AV39" s="1977"/>
      <c r="AW39" s="1977"/>
      <c r="AX39" s="1977"/>
      <c r="AY39" s="1972">
        <v>19</v>
      </c>
    </row>
    <row customHeight="1" ht="61.949999999999996">
      <c r="A40" s="1711"/>
      <c r="B40" s="1711" t="s">
        <v>176</v>
      </c>
      <c r="C40" s="1711" t="s">
        <v>177</v>
      </c>
      <c r="D40" s="1711" t="s">
        <v>178</v>
      </c>
      <c r="E40" s="1705" t="s">
        <v>549</v>
      </c>
      <c r="F40" s="1705" t="s">
        <v>550</v>
      </c>
      <c r="G40" s="1705" t="s">
        <v>551</v>
      </c>
      <c r="H40" s="1705"/>
      <c r="I40" s="1705" t="s">
        <v>601</v>
      </c>
      <c r="J40" s="1705" t="s">
        <v>554</v>
      </c>
      <c r="K40" s="1705" t="s">
        <v>602</v>
      </c>
      <c r="L40" s="1705" t="s">
        <v>530</v>
      </c>
      <c r="Q40" s="717"/>
      <c r="R40" s="717"/>
      <c r="S40" s="2614"/>
      <c r="T40" s="2550"/>
      <c r="U40" s="643"/>
      <c r="V40" s="2707"/>
      <c r="W40" s="2706"/>
      <c r="X40" s="2324" t="s">
        <v>650</v>
      </c>
      <c r="Y40" s="2324" t="s">
        <v>651</v>
      </c>
      <c r="Z40" s="2706"/>
      <c r="AA40" s="2324" t="s">
        <v>652</v>
      </c>
      <c r="AB40" s="2324" t="s">
        <v>653</v>
      </c>
      <c r="AC40" s="1830" t="s">
        <v>558</v>
      </c>
      <c r="AD40" s="2611" t="s">
        <v>559</v>
      </c>
      <c r="AE40" s="2612"/>
      <c r="AF40" s="2620"/>
      <c r="AG40" s="2707"/>
      <c r="AH40" s="2706"/>
      <c r="AI40" s="2324" t="s">
        <v>650</v>
      </c>
      <c r="AJ40" s="2324" t="s">
        <v>651</v>
      </c>
      <c r="AK40" s="2706"/>
      <c r="AL40" s="2324" t="s">
        <v>652</v>
      </c>
      <c r="AM40" s="2324" t="s">
        <v>653</v>
      </c>
      <c r="AN40" s="1830" t="s">
        <v>558</v>
      </c>
      <c r="AO40" s="2611" t="s">
        <v>559</v>
      </c>
      <c r="AP40" s="2612"/>
      <c r="AQ40" s="2620"/>
      <c r="AR40" s="2623"/>
      <c r="AS40" s="2468"/>
      <c r="AY40" s="1496">
        <v>59</v>
      </c>
    </row>
    <row s="22350"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145</v>
      </c>
      <c r="T41" s="1596" t="s">
        <v>103</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365</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164</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365</v>
      </c>
      <c r="B43" s="1704" t="s">
        <v>366</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511</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512</v>
      </c>
      <c r="AU43" s="841"/>
      <c r="AV43" s="841" t="str">
        <f>IF(T43="","",T43)</f>
        <v>Территория действия тарифа</v>
      </c>
      <c r="AW43" s="841"/>
      <c r="AX43" s="841"/>
      <c r="AY43" s="1496">
        <v>23</v>
      </c>
    </row>
    <row customHeight="1" ht="24">
      <c r="A44" s="1704" t="s">
        <v>365</v>
      </c>
      <c r="B44" s="1704" t="s">
        <v>366</v>
      </c>
      <c r="C44" s="1704" t="s">
        <v>367</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642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643</v>
      </c>
      <c r="AU44" s="841"/>
      <c r="AV44" s="841" t="str">
        <f>IF(T44="","",T44)</f>
        <v>Наименование централизованной системы горячего водоснабжения</v>
      </c>
      <c r="AW44" s="841"/>
      <c r="AX44" s="841"/>
      <c r="AY44" s="1496">
        <v>23</v>
      </c>
    </row>
    <row customHeight="1" ht="24">
      <c r="A45" s="1704" t="s">
        <v>365</v>
      </c>
      <c r="B45" s="1704" t="s">
        <v>366</v>
      </c>
      <c r="C45" s="1704" t="s">
        <v>367</v>
      </c>
      <c r="D45" s="1704" t="s">
        <v>654</v>
      </c>
      <c r="E45" s="2600"/>
      <c r="F45" s="2600"/>
      <c r="G45" s="2600"/>
      <c r="H45" s="2600"/>
      <c r="I45" s="2597" t="str">
        <f>S44&amp;".1"</f>
        <v>...1</v>
      </c>
      <c r="J45" s="1704"/>
      <c r="K45" s="1704"/>
      <c r="L45" s="1705"/>
      <c r="P45" s="2598">
        <v>1</v>
      </c>
      <c r="Q45" s="1822"/>
      <c r="R45" s="697"/>
      <c r="S45" s="1834" t="str">
        <f>$I45</f>
        <v>...1</v>
      </c>
      <c r="T45" s="626" t="s">
        <v>594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595</v>
      </c>
      <c r="AU45" s="841"/>
      <c r="AV45" s="841" t="str">
        <f>IF(T45="","",T45)</f>
        <v>Наименование признака дифференциации</v>
      </c>
      <c r="AW45" s="841"/>
      <c r="AX45" s="841"/>
      <c r="AY45" s="1496">
        <v>23</v>
      </c>
    </row>
    <row customHeight="1" ht="24">
      <c r="A46" s="1704" t="s">
        <v>365</v>
      </c>
      <c r="B46" s="1704" t="s">
        <v>366</v>
      </c>
      <c r="C46" s="1704" t="s">
        <v>367</v>
      </c>
      <c r="D46" s="1704" t="s">
        <v>654</v>
      </c>
      <c r="E46" s="2600"/>
      <c r="F46" s="2600"/>
      <c r="G46" s="2600"/>
      <c r="H46" s="2600"/>
      <c r="I46" s="2627"/>
      <c r="J46" s="2597" t="str">
        <f>I45&amp;".1"</f>
        <v>...1.1</v>
      </c>
      <c r="K46" s="1704"/>
      <c r="L46" s="1705" t="s">
        <v>520</v>
      </c>
      <c r="P46" s="2598"/>
      <c r="Q46" s="2598">
        <v>1</v>
      </c>
      <c r="R46" s="698"/>
      <c r="S46" s="1834" t="str">
        <f>$J46</f>
        <v>...1.1</v>
      </c>
      <c r="T46" s="627" t="s">
        <v>521</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596</v>
      </c>
      <c r="AU46" s="841"/>
      <c r="AV46" s="841" t="str">
        <f>IF(T46="","",T46)</f>
        <v>Группа потребителей</v>
      </c>
      <c r="AW46" s="841"/>
      <c r="AX46" s="841"/>
      <c r="AY46" s="1496">
        <v>23</v>
      </c>
    </row>
    <row customHeight="1" ht="24">
      <c r="A47" s="1704" t="s">
        <v>365</v>
      </c>
      <c r="B47" s="1704" t="s">
        <v>366</v>
      </c>
      <c r="C47" s="1704" t="s">
        <v>367</v>
      </c>
      <c r="D47" s="1704" t="s">
        <v>654</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365</v>
      </c>
      <c r="B48" s="1704" t="s">
        <v>366</v>
      </c>
      <c r="C48" s="1704" t="s">
        <v>367</v>
      </c>
      <c r="D48" s="1704" t="s">
        <v>654</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365</v>
      </c>
      <c r="B49" s="1704" t="s">
        <v>366</v>
      </c>
      <c r="C49" s="1704" t="s">
        <v>367</v>
      </c>
      <c r="D49" s="1704" t="s">
        <v>654</v>
      </c>
      <c r="E49" s="2600"/>
      <c r="F49" s="2600"/>
      <c r="G49" s="2600"/>
      <c r="H49" s="2600"/>
      <c r="I49" s="2627"/>
      <c r="J49" s="2597"/>
      <c r="K49" s="1704"/>
      <c r="L49" s="1705"/>
      <c r="P49" s="2598"/>
      <c r="Q49" s="2598"/>
      <c r="R49" s="697"/>
      <c r="S49" s="1619"/>
      <c r="T49" s="628" t="s">
        <v>597</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598</v>
      </c>
      <c r="AU49" s="841"/>
      <c r="AV49" s="841" t="str">
        <f>IF(T49="","",T49)</f>
        <v>Добавить значение признака дифференциации</v>
      </c>
      <c r="AW49" s="841"/>
      <c r="AX49" s="841"/>
      <c r="AY49" s="1496">
        <v>20</v>
      </c>
    </row>
    <row customHeight="1" ht="22.049999999999997">
      <c r="A50" s="1704" t="s">
        <v>365</v>
      </c>
      <c r="B50" s="1704" t="s">
        <v>366</v>
      </c>
      <c r="C50" s="1704" t="s">
        <v>367</v>
      </c>
      <c r="D50" s="1704" t="s">
        <v>654</v>
      </c>
      <c r="E50" s="2600"/>
      <c r="F50" s="2600"/>
      <c r="G50" s="2600"/>
      <c r="H50" s="2600"/>
      <c r="I50" s="2597"/>
      <c r="J50" s="1704"/>
      <c r="K50" s="1704"/>
      <c r="L50" s="1705"/>
      <c r="P50" s="2598"/>
      <c r="Q50" s="1822"/>
      <c r="R50" s="697"/>
      <c r="S50" s="1619"/>
      <c r="T50" s="706" t="s">
        <v>526</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365</v>
      </c>
      <c r="B51" s="1704" t="s">
        <v>366</v>
      </c>
      <c r="C51" s="1704" t="s">
        <v>367</v>
      </c>
      <c r="D51" s="1704" t="s">
        <v>654</v>
      </c>
      <c r="E51" s="2600"/>
      <c r="F51" s="2600"/>
      <c r="G51" s="2600"/>
      <c r="H51" s="2599"/>
      <c r="I51" s="1704"/>
      <c r="J51" s="1704"/>
      <c r="K51" s="1704"/>
      <c r="L51" s="1705"/>
      <c r="M51" s="1706"/>
      <c r="N51" s="1706"/>
      <c r="O51" s="878"/>
      <c r="P51" s="701"/>
      <c r="Q51" s="716"/>
      <c r="R51" s="696"/>
      <c r="S51" s="1619"/>
      <c r="T51" s="713" t="s">
        <v>599</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21688" customFormat="1" customHeight="1" ht="0">
      <c r="A52" s="1684" t="s">
        <v>365</v>
      </c>
      <c r="B52" s="1684" t="s">
        <v>366</v>
      </c>
      <c r="C52" s="1655"/>
      <c r="D52" s="1655"/>
      <c r="E52" s="2600"/>
      <c r="F52" s="2599"/>
      <c r="G52" s="1655"/>
      <c r="H52" s="1655"/>
      <c r="I52" s="1655"/>
      <c r="J52" s="1655"/>
      <c r="K52" s="1655"/>
      <c r="L52" s="1835"/>
      <c r="M52" s="1662"/>
      <c r="N52" s="1662"/>
      <c r="P52" s="1657"/>
      <c r="Q52" s="1658"/>
      <c r="R52" s="1657"/>
      <c r="S52" s="1663"/>
      <c r="T52" s="1666" t="s">
        <v>280</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21688" customFormat="1" customHeight="1" ht="0">
      <c r="A53" s="1684" t="s">
        <v>365</v>
      </c>
      <c r="B53" s="1684"/>
      <c r="C53" s="1684"/>
      <c r="D53" s="1684"/>
      <c r="E53" s="2599"/>
      <c r="F53" s="1684"/>
      <c r="G53" s="1684"/>
      <c r="H53" s="1684"/>
      <c r="I53" s="1684"/>
      <c r="J53" s="1684"/>
      <c r="K53" s="1684"/>
      <c r="L53" s="1687"/>
      <c r="M53" s="1662"/>
      <c r="N53" s="1662"/>
      <c r="O53" s="859"/>
      <c r="P53" s="721"/>
      <c r="Q53" s="1685"/>
      <c r="R53" s="721"/>
      <c r="S53" s="1663"/>
      <c r="T53" s="1666" t="s">
        <v>339</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21688"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340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EC5BB-677C-2739-09BD-D400D5FE68E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4.140625" hidden="1" customWidth="1"/>
    <col min="10" max="10" style="21687" width="9.8515625" hidden="1" customWidth="1"/>
    <col min="11" max="11" style="21687" width="14.7109375" hidden="1" customWidth="1"/>
    <col min="12" max="12" style="22592" width="19.140625" hidden="1" customWidth="1"/>
    <col min="13" max="14" style="22593" width="12.28125" hidden="1" customWidth="1"/>
    <col min="15" max="15" style="22593" width="23.421875" hidden="1" customWidth="1"/>
    <col min="16" max="16" style="22594" width="3.00390625" customWidth="1"/>
    <col min="17" max="18" style="22595" width="3.00390625" customWidth="1"/>
    <col min="19" max="19" style="22596" width="12.00390625" customWidth="1"/>
    <col min="20" max="20" style="21605" width="35.00390625" customWidth="1"/>
    <col min="21" max="21" style="21605" width="0.140625" customWidth="1"/>
    <col min="22" max="28" style="21605" width="19.7109375" hidden="1" customWidth="1"/>
    <col min="29" max="29" style="21605" width="11.7109375" hidden="1" customWidth="1"/>
    <col min="30" max="30" style="21605" width="3.7109375" hidden="1" customWidth="1"/>
    <col min="31" max="31" style="21605" width="11.7109375" hidden="1" customWidth="1"/>
    <col min="32" max="32" style="21605" width="8.57421875" hidden="1" customWidth="1"/>
    <col min="33" max="33" style="21605" width="19.7109375" customWidth="1"/>
    <col min="34" max="39" style="21605" width="19.00390625" customWidth="1"/>
    <col min="40" max="40" style="21605" width="11.00390625" customWidth="1"/>
    <col min="41" max="41" style="21605" width="3.7109375" customWidth="1"/>
    <col min="42" max="42" style="21605" width="11.00390625" customWidth="1"/>
    <col min="43" max="43" style="21605" width="8.57421875" hidden="1" customWidth="1"/>
    <col min="44" max="44" style="21605" width="4.00390625" customWidth="1"/>
    <col min="45" max="45" style="21605" width="115.00390625" customWidth="1"/>
    <col min="46" max="50" style="21688" width="10.00390625" customWidth="1"/>
    <col min="51" max="51" style="21605"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164</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511</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512</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642</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643</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594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595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520</v>
      </c>
      <c r="P6" s="2598"/>
      <c r="Q6" s="2598">
        <v>1</v>
      </c>
      <c r="R6" s="698"/>
      <c r="S6" s="1834">
        <f>$J6</f>
      </c>
      <c r="T6" s="627" t="s">
        <v>521</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596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597</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598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526</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599</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2168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280</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2168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339</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21687" customFormat="1" customHeight="1" ht="22.5" hidden="1">
      <c r="L18" s="1819"/>
      <c r="M18" s="1703"/>
      <c r="N18" s="1703"/>
      <c r="O18" s="1708" t="s">
        <v>529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21687"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21687" customFormat="1" customHeight="1" ht="12" hidden="1">
      <c r="L20" s="1819"/>
      <c r="M20" s="1703"/>
      <c r="N20" s="1703"/>
      <c r="O20" s="1705" t="s">
        <v>530</v>
      </c>
      <c r="P20" s="1703"/>
      <c r="Q20" s="1783"/>
      <c r="R20" s="1783"/>
      <c r="S20" s="1070"/>
      <c r="T20" s="1501" t="s">
        <v>531</v>
      </c>
      <c r="W20" s="1707"/>
      <c r="X20" s="1707"/>
      <c r="Y20" s="1707"/>
      <c r="Z20" s="1707"/>
      <c r="AA20" s="1707"/>
      <c r="AD20" s="527" t="s">
        <v>532</v>
      </c>
      <c r="AF20" s="527" t="s">
        <v>533</v>
      </c>
      <c r="AG20" s="1501" t="s">
        <v>531</v>
      </c>
      <c r="AH20" s="1707"/>
      <c r="AI20" s="1707"/>
      <c r="AJ20" s="1707"/>
      <c r="AK20" s="1707"/>
      <c r="AL20" s="1707"/>
      <c r="AO20" s="527" t="s">
        <v>534</v>
      </c>
      <c r="AQ20" s="527" t="s">
        <v>533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2182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21825" customFormat="1" customHeight="1" ht="18.75" hidden="1">
      <c r="A28" s="1709"/>
      <c r="B28" s="1709"/>
      <c r="C28" s="1709"/>
      <c r="D28" s="1709"/>
      <c r="E28" s="1709"/>
      <c r="F28" s="1709"/>
      <c r="G28" s="1709"/>
      <c r="H28" s="1709"/>
      <c r="I28" s="1709"/>
      <c r="J28" s="1709"/>
      <c r="K28" s="1709"/>
      <c r="L28" s="1710"/>
      <c r="M28" s="1709"/>
      <c r="N28" s="1709"/>
      <c r="O28" s="1709"/>
      <c r="S28" s="2591" t="s">
        <v>535</v>
      </c>
      <c r="T28" s="2591"/>
      <c r="U28" s="1713"/>
      <c r="V28" s="2605" t="str">
        <f>IF(TITLE_DATE_PR_CHANGE="",IF(TITLE_DATE_PR="","",TITLE_DATE_PR),TITLE_DATE_PR_CHANGE)</f>
        <v>45408.52040509259</v>
      </c>
      <c r="W28" s="2605"/>
      <c r="X28" s="2605"/>
      <c r="Y28" s="2605"/>
      <c r="Z28" s="2605"/>
      <c r="AA28" s="2605"/>
      <c r="AB28" s="2605"/>
      <c r="AC28" s="2605"/>
      <c r="AD28" s="2605"/>
      <c r="AE28" s="2605"/>
      <c r="AF28" s="667"/>
      <c r="AG28" s="2605" t="str">
        <f>IF(TITLE_DATE_PR_CHANGE="",IF(TITLE_DATE_PR="","",TITLE_DATE_PR),TITLE_DATE_PR_CHANGE)</f>
        <v>45408.52040509259</v>
      </c>
      <c r="AH28" s="2605"/>
      <c r="AI28" s="2605"/>
      <c r="AJ28" s="2605"/>
      <c r="AK28" s="2605"/>
      <c r="AL28" s="2605"/>
      <c r="AM28" s="2605"/>
      <c r="AN28" s="2605"/>
      <c r="AO28" s="2605"/>
      <c r="AP28" s="2605"/>
      <c r="AQ28" s="667"/>
      <c r="AR28" s="667"/>
      <c r="AS28" s="621"/>
      <c r="AT28" s="709"/>
      <c r="AU28" s="709"/>
      <c r="AV28" s="709"/>
      <c r="AW28" s="709"/>
      <c r="AX28" s="709"/>
      <c r="AY28" s="759">
        <v>0</v>
      </c>
    </row>
    <row s="21825" customFormat="1" customHeight="1" ht="18.75" hidden="1">
      <c r="A29" s="1709"/>
      <c r="B29" s="1709"/>
      <c r="C29" s="1709"/>
      <c r="D29" s="1709"/>
      <c r="E29" s="1709"/>
      <c r="F29" s="1709"/>
      <c r="G29" s="1709"/>
      <c r="H29" s="1709"/>
      <c r="I29" s="1709"/>
      <c r="J29" s="1709"/>
      <c r="K29" s="1709"/>
      <c r="L29" s="1710"/>
      <c r="M29" s="1709"/>
      <c r="N29" s="1709"/>
      <c r="O29" s="1709"/>
      <c r="S29" s="2591" t="s">
        <v>536</v>
      </c>
      <c r="T29" s="2591"/>
      <c r="U29" s="1713"/>
      <c r="V29" s="2592" t="str">
        <f>IF(TITLE_NUMBER_PR_CHANGE="",IF(TITLE_NUMBER_PR="","",TITLE_NUMBER_PR),TITLE_NUMBER_PR_CHANGE)</f>
        <v>27-2139</v>
      </c>
      <c r="W29" s="2592"/>
      <c r="X29" s="2592"/>
      <c r="Y29" s="2592"/>
      <c r="Z29" s="2592"/>
      <c r="AA29" s="2592"/>
      <c r="AB29" s="2592"/>
      <c r="AC29" s="2592"/>
      <c r="AD29" s="2592"/>
      <c r="AE29" s="2592"/>
      <c r="AF29" s="667"/>
      <c r="AG29" s="2592" t="str">
        <f>IF(TITLE_NUMBER_PR_CHANGE="",IF(TITLE_NUMBER_PR="","",TITLE_NUMBER_PR),TITLE_NUMBER_PR_CHANGE)</f>
        <v>27-2139</v>
      </c>
      <c r="AH29" s="2592"/>
      <c r="AI29" s="2592"/>
      <c r="AJ29" s="2592"/>
      <c r="AK29" s="2592"/>
      <c r="AL29" s="2592"/>
      <c r="AM29" s="2592"/>
      <c r="AN29" s="2592"/>
      <c r="AO29" s="2592"/>
      <c r="AP29" s="2592"/>
      <c r="AQ29" s="667"/>
      <c r="AR29" s="667"/>
      <c r="AS29" s="621"/>
      <c r="AT29" s="709"/>
      <c r="AU29" s="709"/>
      <c r="AV29" s="709"/>
      <c r="AW29" s="709"/>
      <c r="AX29" s="709"/>
      <c r="AY29" s="759">
        <v>0</v>
      </c>
    </row>
    <row s="2182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21825" customFormat="1" customHeight="1" ht="18.75">
      <c r="A32" s="1709"/>
      <c r="B32" s="1709"/>
      <c r="C32" s="1709"/>
      <c r="D32" s="1709"/>
      <c r="E32" s="1709"/>
      <c r="F32" s="1709"/>
      <c r="G32" s="1709"/>
      <c r="H32" s="1709"/>
      <c r="I32" s="1709"/>
      <c r="J32" s="1709"/>
      <c r="K32" s="1709"/>
      <c r="L32" s="1710"/>
      <c r="M32" s="1709"/>
      <c r="N32" s="1709"/>
      <c r="O32" s="1709"/>
      <c r="S32" s="2591" t="s">
        <v>537</v>
      </c>
      <c r="T32" s="2591"/>
      <c r="U32" s="1713"/>
      <c r="V32" s="2605" t="str">
        <f>IF(TITLE_DATE_PR_CHANGE="",IF(TITLE_DATE_PR="","",TITLE_DATE_PR),TITLE_DATE_PR_CHANGE)</f>
        <v>45408.52040509259</v>
      </c>
      <c r="W32" s="2605"/>
      <c r="X32" s="2605"/>
      <c r="Y32" s="2605"/>
      <c r="Z32" s="2605"/>
      <c r="AA32" s="2605"/>
      <c r="AB32" s="2605"/>
      <c r="AC32" s="2605"/>
      <c r="AD32" s="2605"/>
      <c r="AE32" s="2605"/>
      <c r="AF32" s="667"/>
      <c r="AG32" s="2605" t="str">
        <f>IF(TITLE_DATE_PR_CHANGE="",IF(TITLE_DATE_PR="","",TITLE_DATE_PR),TITLE_DATE_PR_CHANGE)</f>
        <v>45408.52040509259</v>
      </c>
      <c r="AH32" s="2605"/>
      <c r="AI32" s="2605"/>
      <c r="AJ32" s="2605"/>
      <c r="AK32" s="2605"/>
      <c r="AL32" s="2605"/>
      <c r="AM32" s="2605"/>
      <c r="AN32" s="2605"/>
      <c r="AO32" s="2605"/>
      <c r="AP32" s="2605"/>
      <c r="AQ32" s="667"/>
      <c r="AR32" s="667"/>
      <c r="AS32" s="621"/>
      <c r="AT32" s="709"/>
      <c r="AU32" s="709"/>
      <c r="AV32" s="709"/>
      <c r="AW32" s="709"/>
      <c r="AX32" s="709"/>
      <c r="AY32" s="759">
        <v>0</v>
      </c>
    </row>
    <row s="21825" customFormat="1" customHeight="1" ht="18.75">
      <c r="A33" s="1709"/>
      <c r="B33" s="1709"/>
      <c r="C33" s="1709"/>
      <c r="D33" s="1709"/>
      <c r="E33" s="1709"/>
      <c r="F33" s="1709"/>
      <c r="G33" s="1709"/>
      <c r="H33" s="1709"/>
      <c r="I33" s="1709"/>
      <c r="J33" s="1709"/>
      <c r="K33" s="1709"/>
      <c r="L33" s="1710"/>
      <c r="M33" s="1709"/>
      <c r="N33" s="1709"/>
      <c r="O33" s="1709"/>
      <c r="S33" s="2591" t="s">
        <v>538</v>
      </c>
      <c r="T33" s="2591"/>
      <c r="U33" s="1713"/>
      <c r="V33" s="2592" t="str">
        <f>IF(TITLE_NUMBER_PR_CHANGE="",IF(TITLE_NUMBER_PR="","",TITLE_NUMBER_PR),TITLE_NUMBER_PR_CHANGE)</f>
        <v>27-2139</v>
      </c>
      <c r="W33" s="2592"/>
      <c r="X33" s="2592"/>
      <c r="Y33" s="2592"/>
      <c r="Z33" s="2592"/>
      <c r="AA33" s="2592"/>
      <c r="AB33" s="2592"/>
      <c r="AC33" s="2592"/>
      <c r="AD33" s="2592"/>
      <c r="AE33" s="2592"/>
      <c r="AF33" s="667"/>
      <c r="AG33" s="2592" t="str">
        <f>IF(TITLE_NUMBER_PR_CHANGE="",IF(TITLE_NUMBER_PR="","",TITLE_NUMBER_PR),TITLE_NUMBER_PR_CHANGE)</f>
        <v>27-2139</v>
      </c>
      <c r="AH33" s="2592"/>
      <c r="AI33" s="2592"/>
      <c r="AJ33" s="2592"/>
      <c r="AK33" s="2592"/>
      <c r="AL33" s="2592"/>
      <c r="AM33" s="2592"/>
      <c r="AN33" s="2592"/>
      <c r="AO33" s="2592"/>
      <c r="AP33" s="2592"/>
      <c r="AQ33" s="667"/>
      <c r="AR33" s="667"/>
      <c r="AS33" s="621"/>
      <c r="AT33" s="709"/>
      <c r="AU33" s="709"/>
      <c r="AV33" s="709"/>
      <c r="AW33" s="709"/>
      <c r="AX33" s="709"/>
      <c r="AY33" s="759">
        <v>0</v>
      </c>
    </row>
    <row s="2182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539</v>
      </c>
      <c r="AG34" s="667"/>
      <c r="AH34" s="1976"/>
      <c r="AI34" s="1976"/>
      <c r="AJ34" s="1976"/>
      <c r="AK34" s="1976"/>
      <c r="AL34" s="1976"/>
      <c r="AM34" s="667"/>
      <c r="AN34" s="667"/>
      <c r="AO34" s="667"/>
      <c r="AP34" s="667"/>
      <c r="AQ34" s="619" t="s">
        <v>539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414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415</v>
      </c>
      <c r="AY36" s="1496">
        <v>14</v>
      </c>
    </row>
    <row customHeight="1" ht="14.699999999999998">
      <c r="Q37" s="717"/>
      <c r="R37" s="717"/>
      <c r="S37" s="2614" t="s">
        <v>88</v>
      </c>
      <c r="T37" s="2550" t="s">
        <v>540</v>
      </c>
      <c r="U37" s="642"/>
      <c r="V37" s="2615" t="s">
        <v>541</v>
      </c>
      <c r="W37" s="2616"/>
      <c r="X37" s="2616"/>
      <c r="Y37" s="2616"/>
      <c r="Z37" s="2616"/>
      <c r="AA37" s="2616"/>
      <c r="AB37" s="2616"/>
      <c r="AC37" s="2616"/>
      <c r="AD37" s="2616"/>
      <c r="AE37" s="2617"/>
      <c r="AF37" s="2618" t="s">
        <v>542</v>
      </c>
      <c r="AG37" s="2615" t="s">
        <v>541</v>
      </c>
      <c r="AH37" s="2616"/>
      <c r="AI37" s="2616"/>
      <c r="AJ37" s="2616"/>
      <c r="AK37" s="2616"/>
      <c r="AL37" s="2616"/>
      <c r="AM37" s="2616"/>
      <c r="AN37" s="2616"/>
      <c r="AO37" s="2616"/>
      <c r="AP37" s="2617"/>
      <c r="AQ37" s="2618" t="s">
        <v>543</v>
      </c>
      <c r="AR37" s="2621" t="s">
        <v>544</v>
      </c>
      <c r="AS37" s="2468"/>
      <c r="AY37" s="1496">
        <v>14</v>
      </c>
    </row>
    <row s="21605"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644</v>
      </c>
      <c r="W38" s="2706" t="s">
        <v>645</v>
      </c>
      <c r="X38" s="2706"/>
      <c r="Y38" s="2706"/>
      <c r="Z38" s="2706" t="s">
        <v>646</v>
      </c>
      <c r="AA38" s="2706"/>
      <c r="AB38" s="2706"/>
      <c r="AC38" s="2635" t="s">
        <v>548</v>
      </c>
      <c r="AD38" s="2654"/>
      <c r="AE38" s="2655"/>
      <c r="AF38" s="2619"/>
      <c r="AG38" s="2707" t="s">
        <v>644</v>
      </c>
      <c r="AH38" s="2706" t="s">
        <v>645</v>
      </c>
      <c r="AI38" s="2706"/>
      <c r="AJ38" s="2706"/>
      <c r="AK38" s="2706" t="s">
        <v>646</v>
      </c>
      <c r="AL38" s="2706"/>
      <c r="AM38" s="2706"/>
      <c r="AN38" s="2635" t="s">
        <v>548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647</v>
      </c>
      <c r="X39" s="2706" t="s">
        <v>648</v>
      </c>
      <c r="Y39" s="2706"/>
      <c r="Z39" s="2706" t="s">
        <v>649</v>
      </c>
      <c r="AA39" s="2706" t="s">
        <v>648</v>
      </c>
      <c r="AB39" s="2706"/>
      <c r="AC39" s="2636"/>
      <c r="AD39" s="2656"/>
      <c r="AE39" s="2657"/>
      <c r="AF39" s="2619"/>
      <c r="AG39" s="2707"/>
      <c r="AH39" s="2706" t="s">
        <v>647</v>
      </c>
      <c r="AI39" s="2706" t="s">
        <v>648</v>
      </c>
      <c r="AJ39" s="2706"/>
      <c r="AK39" s="2706" t="s">
        <v>649</v>
      </c>
      <c r="AL39" s="2706" t="s">
        <v>648</v>
      </c>
      <c r="AM39" s="2706"/>
      <c r="AN39" s="2636"/>
      <c r="AO39" s="2656"/>
      <c r="AP39" s="2657"/>
      <c r="AQ39" s="2619"/>
      <c r="AR39" s="2622"/>
      <c r="AS39" s="2468"/>
      <c r="AY39" s="1496">
        <v>19</v>
      </c>
    </row>
    <row customHeight="1" ht="61.949999999999996">
      <c r="A40" s="1711"/>
      <c r="B40" s="1711" t="s">
        <v>176</v>
      </c>
      <c r="C40" s="1711" t="s">
        <v>177</v>
      </c>
      <c r="D40" s="1711" t="s">
        <v>178</v>
      </c>
      <c r="E40" s="1705" t="s">
        <v>549</v>
      </c>
      <c r="F40" s="1705" t="s">
        <v>550</v>
      </c>
      <c r="G40" s="1705" t="s">
        <v>551</v>
      </c>
      <c r="H40" s="1705"/>
      <c r="I40" s="1705" t="s">
        <v>601</v>
      </c>
      <c r="J40" s="1705" t="s">
        <v>554</v>
      </c>
      <c r="K40" s="1705" t="s">
        <v>602</v>
      </c>
      <c r="L40" s="1705" t="s">
        <v>530</v>
      </c>
      <c r="Q40" s="717"/>
      <c r="R40" s="717"/>
      <c r="S40" s="2614"/>
      <c r="T40" s="2550"/>
      <c r="U40" s="643"/>
      <c r="V40" s="2707"/>
      <c r="W40" s="2706"/>
      <c r="X40" s="2324" t="s">
        <v>650</v>
      </c>
      <c r="Y40" s="2324" t="s">
        <v>651</v>
      </c>
      <c r="Z40" s="2706"/>
      <c r="AA40" s="2324" t="s">
        <v>652</v>
      </c>
      <c r="AB40" s="2324" t="s">
        <v>653</v>
      </c>
      <c r="AC40" s="1830" t="s">
        <v>558</v>
      </c>
      <c r="AD40" s="2611" t="s">
        <v>559</v>
      </c>
      <c r="AE40" s="2612"/>
      <c r="AF40" s="2620"/>
      <c r="AG40" s="2707"/>
      <c r="AH40" s="2706"/>
      <c r="AI40" s="2324" t="s">
        <v>650</v>
      </c>
      <c r="AJ40" s="2324" t="s">
        <v>651</v>
      </c>
      <c r="AK40" s="2706"/>
      <c r="AL40" s="2324" t="s">
        <v>652</v>
      </c>
      <c r="AM40" s="2324" t="s">
        <v>653</v>
      </c>
      <c r="AN40" s="1830" t="s">
        <v>558</v>
      </c>
      <c r="AO40" s="2611" t="s">
        <v>559</v>
      </c>
      <c r="AP40" s="2612"/>
      <c r="AQ40" s="2620"/>
      <c r="AR40" s="2623"/>
      <c r="AS40" s="2468"/>
      <c r="AY40" s="1496">
        <v>59</v>
      </c>
    </row>
    <row s="22350"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145</v>
      </c>
      <c r="T41" s="1596" t="s">
        <v>103</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370</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164</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370</v>
      </c>
      <c r="B43" s="1704" t="s">
        <v>371</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511</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512</v>
      </c>
      <c r="AU43" s="841"/>
      <c r="AV43" s="841" t="str">
        <f>IF(T43="","",T43)</f>
        <v>Территория действия тарифа</v>
      </c>
      <c r="AW43" s="841"/>
      <c r="AX43" s="841"/>
      <c r="AY43" s="1496">
        <v>23</v>
      </c>
    </row>
    <row customHeight="1" ht="24">
      <c r="A44" s="1704" t="s">
        <v>370</v>
      </c>
      <c r="B44" s="1704" t="s">
        <v>371</v>
      </c>
      <c r="C44" s="1704" t="s">
        <v>372</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642</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643</v>
      </c>
      <c r="AU44" s="841"/>
      <c r="AV44" s="841" t="str">
        <f>IF(T44="","",T44)</f>
        <v>Наименование централизованной системы горячего водоснабжения</v>
      </c>
      <c r="AW44" s="841"/>
      <c r="AX44" s="841"/>
      <c r="AY44" s="1496">
        <v>23</v>
      </c>
    </row>
    <row customHeight="1" ht="24">
      <c r="A45" s="1704" t="s">
        <v>370</v>
      </c>
      <c r="B45" s="1704" t="s">
        <v>371</v>
      </c>
      <c r="C45" s="1704" t="s">
        <v>372</v>
      </c>
      <c r="D45" s="1704" t="s">
        <v>655</v>
      </c>
      <c r="E45" s="2600"/>
      <c r="F45" s="2600"/>
      <c r="G45" s="2600"/>
      <c r="H45" s="2600"/>
      <c r="I45" s="2597" t="str">
        <f>S44&amp;".1"</f>
        <v>...1</v>
      </c>
      <c r="J45" s="1704"/>
      <c r="K45" s="1704"/>
      <c r="L45" s="1705"/>
      <c r="P45" s="2598">
        <v>1</v>
      </c>
      <c r="Q45" s="1822"/>
      <c r="R45" s="697"/>
      <c r="S45" s="1834" t="str">
        <f>$I45</f>
        <v>...1</v>
      </c>
      <c r="T45" s="626" t="s">
        <v>594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595</v>
      </c>
      <c r="AU45" s="841"/>
      <c r="AV45" s="841" t="str">
        <f>IF(T45="","",T45)</f>
        <v>Наименование признака дифференциации</v>
      </c>
      <c r="AW45" s="841"/>
      <c r="AX45" s="841"/>
      <c r="AY45" s="1496">
        <v>23</v>
      </c>
    </row>
    <row customHeight="1" ht="24">
      <c r="A46" s="1704" t="s">
        <v>370</v>
      </c>
      <c r="B46" s="1704" t="s">
        <v>371</v>
      </c>
      <c r="C46" s="1704" t="s">
        <v>372</v>
      </c>
      <c r="D46" s="1704" t="s">
        <v>655</v>
      </c>
      <c r="E46" s="2600"/>
      <c r="F46" s="2600"/>
      <c r="G46" s="2600"/>
      <c r="H46" s="2600"/>
      <c r="I46" s="2627"/>
      <c r="J46" s="2597" t="str">
        <f>I45&amp;".1"</f>
        <v>...1.1</v>
      </c>
      <c r="K46" s="1704"/>
      <c r="L46" s="1705" t="s">
        <v>520</v>
      </c>
      <c r="P46" s="2598"/>
      <c r="Q46" s="2598">
        <v>1</v>
      </c>
      <c r="R46" s="698"/>
      <c r="S46" s="1834" t="str">
        <f>$J46</f>
        <v>...1.1</v>
      </c>
      <c r="T46" s="627" t="s">
        <v>521</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596</v>
      </c>
      <c r="AU46" s="841"/>
      <c r="AV46" s="841" t="str">
        <f>IF(T46="","",T46)</f>
        <v>Группа потребителей</v>
      </c>
      <c r="AW46" s="841"/>
      <c r="AX46" s="841"/>
      <c r="AY46" s="1496">
        <v>23</v>
      </c>
    </row>
    <row customHeight="1" ht="24">
      <c r="A47" s="1704" t="s">
        <v>370</v>
      </c>
      <c r="B47" s="1704" t="s">
        <v>371</v>
      </c>
      <c r="C47" s="1704" t="s">
        <v>372</v>
      </c>
      <c r="D47" s="1704" t="s">
        <v>655</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370</v>
      </c>
      <c r="B48" s="1704" t="s">
        <v>371</v>
      </c>
      <c r="C48" s="1704" t="s">
        <v>372</v>
      </c>
      <c r="D48" s="1704" t="s">
        <v>655</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370</v>
      </c>
      <c r="B49" s="1704" t="s">
        <v>371</v>
      </c>
      <c r="C49" s="1704" t="s">
        <v>372</v>
      </c>
      <c r="D49" s="1704" t="s">
        <v>655</v>
      </c>
      <c r="E49" s="2600"/>
      <c r="F49" s="2600"/>
      <c r="G49" s="2600"/>
      <c r="H49" s="2600"/>
      <c r="I49" s="2627"/>
      <c r="J49" s="2597"/>
      <c r="K49" s="1704"/>
      <c r="L49" s="1705"/>
      <c r="P49" s="2598"/>
      <c r="Q49" s="2598"/>
      <c r="R49" s="697"/>
      <c r="S49" s="1619"/>
      <c r="T49" s="628" t="s">
        <v>597</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598</v>
      </c>
      <c r="AU49" s="841"/>
      <c r="AV49" s="841" t="str">
        <f>IF(T49="","",T49)</f>
        <v>Добавить значение признака дифференциации</v>
      </c>
      <c r="AW49" s="841"/>
      <c r="AX49" s="841"/>
      <c r="AY49" s="1496">
        <v>20</v>
      </c>
    </row>
    <row customHeight="1" ht="22.049999999999997">
      <c r="A50" s="1704" t="s">
        <v>370</v>
      </c>
      <c r="B50" s="1704" t="s">
        <v>371</v>
      </c>
      <c r="C50" s="1704" t="s">
        <v>372</v>
      </c>
      <c r="D50" s="1704" t="s">
        <v>655</v>
      </c>
      <c r="E50" s="2600"/>
      <c r="F50" s="2600"/>
      <c r="G50" s="2600"/>
      <c r="H50" s="2600"/>
      <c r="I50" s="2597"/>
      <c r="J50" s="1704"/>
      <c r="K50" s="1704"/>
      <c r="L50" s="1705"/>
      <c r="P50" s="2598"/>
      <c r="Q50" s="1822"/>
      <c r="R50" s="697"/>
      <c r="S50" s="1619"/>
      <c r="T50" s="706" t="s">
        <v>526</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370</v>
      </c>
      <c r="B51" s="1704" t="s">
        <v>371</v>
      </c>
      <c r="C51" s="1704" t="s">
        <v>372</v>
      </c>
      <c r="D51" s="1704" t="s">
        <v>655</v>
      </c>
      <c r="E51" s="2600"/>
      <c r="F51" s="2600"/>
      <c r="G51" s="2600"/>
      <c r="H51" s="2599"/>
      <c r="I51" s="1704"/>
      <c r="J51" s="1704"/>
      <c r="K51" s="1704"/>
      <c r="L51" s="1705"/>
      <c r="M51" s="1706"/>
      <c r="N51" s="1706"/>
      <c r="O51" s="878"/>
      <c r="P51" s="701"/>
      <c r="Q51" s="716"/>
      <c r="R51" s="696"/>
      <c r="S51" s="1619"/>
      <c r="T51" s="713" t="s">
        <v>599</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21688" customFormat="1" customHeight="1" ht="0">
      <c r="A52" s="1684" t="s">
        <v>370</v>
      </c>
      <c r="B52" s="1684" t="s">
        <v>371</v>
      </c>
      <c r="C52" s="1655"/>
      <c r="D52" s="1655"/>
      <c r="E52" s="2600"/>
      <c r="F52" s="2599"/>
      <c r="G52" s="1655"/>
      <c r="H52" s="1655"/>
      <c r="I52" s="1655"/>
      <c r="J52" s="1655"/>
      <c r="K52" s="1655"/>
      <c r="L52" s="1835"/>
      <c r="M52" s="1662"/>
      <c r="N52" s="1662"/>
      <c r="P52" s="1657"/>
      <c r="Q52" s="1658"/>
      <c r="R52" s="1657"/>
      <c r="S52" s="1663"/>
      <c r="T52" s="1666" t="s">
        <v>280</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21688" customFormat="1" customHeight="1" ht="0">
      <c r="A53" s="1684" t="s">
        <v>370</v>
      </c>
      <c r="B53" s="1684"/>
      <c r="C53" s="1684"/>
      <c r="D53" s="1684"/>
      <c r="E53" s="2599"/>
      <c r="F53" s="1684"/>
      <c r="G53" s="1684"/>
      <c r="H53" s="1684"/>
      <c r="I53" s="1684"/>
      <c r="J53" s="1684"/>
      <c r="K53" s="1684"/>
      <c r="L53" s="1687"/>
      <c r="M53" s="1662"/>
      <c r="N53" s="1662"/>
      <c r="O53" s="859"/>
      <c r="P53" s="721"/>
      <c r="Q53" s="1685"/>
      <c r="R53" s="721"/>
      <c r="S53" s="1663"/>
      <c r="T53" s="1666" t="s">
        <v>339</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21688"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340</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EE60C-2CCB-4D71-5346-47C48E142E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1687" width="11.57421875" hidden="1" customWidth="1"/>
    <col min="2" max="2" style="21687" width="11.00390625" hidden="1" customWidth="1"/>
    <col min="3" max="3" style="21687" width="10.57421875" hidden="1"/>
    <col min="4" max="4" style="21687" width="12.8515625" hidden="1" customWidth="1"/>
    <col min="5" max="5" style="21687" width="10.00390625" hidden="1" customWidth="1"/>
    <col min="6" max="6" style="21687" width="8.7109375" hidden="1" customWidth="1"/>
    <col min="7" max="7" style="21687" width="7.57421875" hidden="1" customWidth="1"/>
    <col min="8" max="8" style="21687" width="11.421875" hidden="1" customWidth="1"/>
    <col min="9" max="9" style="21687" width="12.00390625" hidden="1" customWidth="1"/>
    <col min="10" max="10" style="21687" width="9.8515625" hidden="1" customWidth="1"/>
    <col min="11" max="11" style="21687" width="11.421875" hidden="1" customWidth="1"/>
    <col min="12" max="12" style="22592" width="19.140625" hidden="1" customWidth="1"/>
    <col min="13" max="14" style="22593" width="12.28125" hidden="1" customWidth="1"/>
    <col min="15" max="15" style="22593" width="23.421875" hidden="1" customWidth="1"/>
    <col min="16" max="16" style="22593" width="3.7109375" hidden="1" customWidth="1"/>
    <col min="17" max="17" style="22778" width="3.7109375" hidden="1" customWidth="1"/>
    <col min="18" max="18" style="22595" width="3.00390625" customWidth="1"/>
    <col min="19" max="19" style="22596" width="12.00390625" customWidth="1"/>
    <col min="20" max="20" style="21605" width="31.00390625" customWidth="1"/>
    <col min="21" max="21" style="21605" width="0.140625" customWidth="1"/>
    <col min="22" max="25" style="21605" width="21.7109375" hidden="1" customWidth="1"/>
    <col min="26" max="26" style="21605" width="11.7109375" hidden="1" customWidth="1"/>
    <col min="27" max="27" style="21605" width="3.7109375" hidden="1" customWidth="1"/>
    <col min="28" max="28" style="21605" width="11.7109375" hidden="1" customWidth="1"/>
    <col min="29" max="29" style="21605" width="8.57421875" hidden="1" customWidth="1"/>
    <col min="30" max="30" style="21605" width="3.7109375" customWidth="1"/>
    <col min="31" max="32" style="21605" width="3.00390625" customWidth="1"/>
    <col min="33" max="33" style="21605" width="24.00390625" customWidth="1"/>
    <col min="34" max="34" style="21605" width="3.7109375" customWidth="1"/>
    <col min="35" max="36" style="21605" width="3.00390625" customWidth="1"/>
    <col min="37" max="37" style="21605" width="24.00390625" customWidth="1"/>
    <col min="38" max="38" style="21605" width="3.7109375" customWidth="1"/>
    <col min="39" max="40" style="21605" width="3.00390625" customWidth="1"/>
    <col min="41" max="41" style="21605" width="18.00390625" customWidth="1"/>
    <col min="42" max="42" style="21605" width="3.7109375" customWidth="1"/>
    <col min="43" max="44" style="21605" width="3.00390625" customWidth="1"/>
    <col min="45" max="45" style="21605" width="18.00390625" customWidth="1"/>
    <col min="46" max="49" style="21605" width="21.00390625" customWidth="1"/>
    <col min="50" max="50" style="21605" width="11.00390625" customWidth="1"/>
    <col min="51" max="51" style="21605" width="3.7109375" customWidth="1"/>
    <col min="52" max="52" style="21605" width="11.00390625" customWidth="1"/>
    <col min="53" max="53" style="21605" width="8.57421875" hidden="1" customWidth="1"/>
    <col min="54" max="54" style="21605" width="4.00390625" customWidth="1"/>
    <col min="55" max="55" style="21605" width="115.00390625" customWidth="1"/>
    <col min="56" max="60" style="21688" width="10.00390625" customWidth="1"/>
    <col min="61" max="61" style="21605"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164</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511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512</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642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643</v>
      </c>
      <c r="BE4" s="841"/>
      <c r="BF4" s="841" t="str">
        <f>IF(T4="","",T4)</f>
        <v>Наименование централизованной системы горячего водоснабжения</v>
      </c>
      <c r="BG4" s="841"/>
      <c r="BH4" s="841"/>
      <c r="BI4" s="1496">
        <v>0</v>
      </c>
    </row>
    <row s="2168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516</v>
      </c>
      <c r="BE5" s="841"/>
      <c r="BF5" s="841" t="str">
        <f>IF(T5="","",T5)</f>
        <v/>
      </c>
      <c r="BG5" s="841"/>
      <c r="BH5" s="841"/>
      <c r="BI5" s="852">
        <v>0</v>
      </c>
    </row>
    <row s="21688" customFormat="1" customHeight="1" ht="14.25" hidden="1">
      <c r="A6" s="1684"/>
      <c r="B6" s="1684"/>
      <c r="C6" s="1684"/>
      <c r="D6" s="1684"/>
      <c r="E6" s="2600"/>
      <c r="F6" s="2600"/>
      <c r="G6" s="2600"/>
      <c r="H6" s="2600"/>
      <c r="I6" s="2597" t="str">
        <f>S5&amp;".1"</f>
        <v>.1</v>
      </c>
      <c r="J6" s="1684"/>
      <c r="K6" s="1684"/>
      <c r="L6" s="1687" t="s">
        <v>517</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2168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613</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614</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615</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616</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617</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579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21688"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2168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21688"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21688"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280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2168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339</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529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22749" customFormat="1" customHeight="1" ht="14.25" hidden="1">
      <c r="M24" s="1849"/>
      <c r="N24" s="1849"/>
      <c r="O24" s="1850" t="s">
        <v>530</v>
      </c>
      <c r="P24" s="1849"/>
      <c r="Q24" s="1851"/>
      <c r="R24" s="1851"/>
      <c r="AA24" s="1848" t="s">
        <v>532</v>
      </c>
      <c r="AC24" s="1848" t="s">
        <v>533</v>
      </c>
      <c r="AD24" s="1848" t="s">
        <v>580</v>
      </c>
      <c r="AH24" s="1848" t="s">
        <v>580</v>
      </c>
      <c r="AK24" s="1848" t="s">
        <v>618</v>
      </c>
      <c r="AL24" s="1848" t="s">
        <v>580</v>
      </c>
      <c r="AP24" s="1848" t="s">
        <v>580</v>
      </c>
      <c r="AY24" s="1848" t="s">
        <v>532</v>
      </c>
      <c r="BA24" s="1848" t="s">
        <v>533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2182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2182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535</v>
      </c>
      <c r="T32" s="2591"/>
      <c r="U32" s="1713"/>
      <c r="V32" s="2605" t="str">
        <f>IF(TITLE_DATE_PR_CHANGE="",IF(TITLE_DATE_PR="","",TITLE_DATE_PR),TITLE_DATE_PR_CHANGE)</f>
        <v>45408.52040509259</v>
      </c>
      <c r="W32" s="2605"/>
      <c r="X32" s="2605"/>
      <c r="Y32" s="2605"/>
      <c r="Z32" s="2605"/>
      <c r="AA32" s="2605"/>
      <c r="AB32" s="2605"/>
      <c r="AC32" s="667"/>
      <c r="AD32" s="2605" t="str">
        <f>IF(TITLE_DATE_PR_CHANGE="",IF(TITLE_DATE_PR="","",TITLE_DATE_PR),TITLE_DATE_PR_CHANGE)</f>
        <v>45408.52040509259</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2182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536</v>
      </c>
      <c r="T33" s="2591"/>
      <c r="U33" s="1713"/>
      <c r="V33" s="2592" t="str">
        <f>IF(TITLE_NUMBER_PR_CHANGE="",IF(TITLE_NUMBER_PR="","",TITLE_NUMBER_PR),TITLE_NUMBER_PR_CHANGE)</f>
        <v>27-2139</v>
      </c>
      <c r="W33" s="2592"/>
      <c r="X33" s="2592"/>
      <c r="Y33" s="2592"/>
      <c r="Z33" s="2592"/>
      <c r="AA33" s="2592"/>
      <c r="AB33" s="2592"/>
      <c r="AC33" s="667"/>
      <c r="AD33" s="2592" t="str">
        <f>IF(TITLE_NUMBER_PR_CHANGE="",IF(TITLE_NUMBER_PR="","",TITLE_NUMBER_PR),TITLE_NUMBER_PR_CHANGE)</f>
        <v>27-2139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2182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21825" customFormat="1" customHeight="1" ht="18.75">
      <c r="A36" s="1709"/>
      <c r="B36" s="1709"/>
      <c r="C36" s="1709"/>
      <c r="D36" s="1709"/>
      <c r="E36" s="1709"/>
      <c r="F36" s="1709"/>
      <c r="G36" s="1709"/>
      <c r="H36" s="1709"/>
      <c r="I36" s="1709"/>
      <c r="J36" s="1709"/>
      <c r="K36" s="1709"/>
      <c r="L36" s="1710"/>
      <c r="M36" s="1709"/>
      <c r="N36" s="1709"/>
      <c r="O36" s="1709"/>
      <c r="P36" s="1709"/>
      <c r="Q36" s="1709"/>
      <c r="S36" s="2591" t="s">
        <v>535</v>
      </c>
      <c r="T36" s="2591"/>
      <c r="U36" s="1713"/>
      <c r="V36" s="2605" t="str">
        <f>IF(TITLE_DATE_PR_CHANGE="",IF(TITLE_DATE_PR="","",TITLE_DATE_PR),TITLE_DATE_PR_CHANGE)</f>
        <v>45408.52040509259</v>
      </c>
      <c r="W36" s="2605"/>
      <c r="X36" s="2605"/>
      <c r="Y36" s="2605"/>
      <c r="Z36" s="2605"/>
      <c r="AA36" s="2605"/>
      <c r="AB36" s="2605"/>
      <c r="AC36" s="667"/>
      <c r="AD36" s="2605" t="str">
        <f>IF(TITLE_DATE_PR_CHANGE="",IF(TITLE_DATE_PR="","",TITLE_DATE_PR),TITLE_DATE_PR_CHANGE)</f>
        <v>45408.52040509259</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21825" customFormat="1" customHeight="1" ht="18.75">
      <c r="A37" s="1709"/>
      <c r="B37" s="1709"/>
      <c r="C37" s="1709"/>
      <c r="D37" s="1709"/>
      <c r="E37" s="1709"/>
      <c r="F37" s="1709"/>
      <c r="G37" s="1709"/>
      <c r="H37" s="1709"/>
      <c r="I37" s="1709"/>
      <c r="J37" s="1709"/>
      <c r="K37" s="1709"/>
      <c r="L37" s="1710"/>
      <c r="M37" s="1709"/>
      <c r="N37" s="1709"/>
      <c r="O37" s="1709"/>
      <c r="P37" s="1709"/>
      <c r="Q37" s="1709"/>
      <c r="S37" s="2591" t="s">
        <v>536</v>
      </c>
      <c r="T37" s="2591"/>
      <c r="U37" s="1713"/>
      <c r="V37" s="2592" t="str">
        <f>IF(TITLE_NUMBER_PR_CHANGE="",IF(TITLE_NUMBER_PR="","",TITLE_NUMBER_PR),TITLE_NUMBER_PR_CHANGE)</f>
        <v>27-2139</v>
      </c>
      <c r="W37" s="2592"/>
      <c r="X37" s="2592"/>
      <c r="Y37" s="2592"/>
      <c r="Z37" s="2592"/>
      <c r="AA37" s="2592"/>
      <c r="AB37" s="2592"/>
      <c r="AC37" s="667"/>
      <c r="AD37" s="2592" t="str">
        <f>IF(TITLE_NUMBER_PR_CHANGE="",IF(TITLE_NUMBER_PR="","",TITLE_NUMBER_PR),TITLE_NUMBER_PR_CHANGE)</f>
        <v>27-2139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2182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539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539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414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415</v>
      </c>
      <c r="BI40" s="1496">
        <v>14</v>
      </c>
    </row>
    <row customHeight="1" ht="14.699999999999998">
      <c r="Q41" s="632"/>
      <c r="R41" s="717"/>
      <c r="S41" s="2614" t="s">
        <v>88</v>
      </c>
      <c r="T41" s="2550" t="s">
        <v>619</v>
      </c>
      <c r="U41" s="642"/>
      <c r="V41" s="2615" t="s">
        <v>541</v>
      </c>
      <c r="W41" s="2616"/>
      <c r="X41" s="2616"/>
      <c r="Y41" s="2616"/>
      <c r="Z41" s="2616"/>
      <c r="AA41" s="2616"/>
      <c r="AB41" s="2617"/>
      <c r="AC41" s="2618" t="s">
        <v>542</v>
      </c>
      <c r="AD41" s="2669" t="s">
        <v>620</v>
      </c>
      <c r="AE41" s="2632"/>
      <c r="AF41" s="2632"/>
      <c r="AG41" s="2670"/>
      <c r="AH41" s="2669" t="s">
        <v>621</v>
      </c>
      <c r="AI41" s="2632"/>
      <c r="AJ41" s="2632"/>
      <c r="AK41" s="2670"/>
      <c r="AL41" s="2669" t="s">
        <v>622</v>
      </c>
      <c r="AM41" s="2632"/>
      <c r="AN41" s="2632"/>
      <c r="AO41" s="2670"/>
      <c r="AP41" s="2669" t="s">
        <v>623</v>
      </c>
      <c r="AQ41" s="2632"/>
      <c r="AR41" s="2632"/>
      <c r="AS41" s="2670"/>
      <c r="AT41" s="2615" t="s">
        <v>541</v>
      </c>
      <c r="AU41" s="2616"/>
      <c r="AV41" s="2616"/>
      <c r="AW41" s="2616"/>
      <c r="AX41" s="2616"/>
      <c r="AY41" s="2616"/>
      <c r="AZ41" s="2617"/>
      <c r="BA41" s="2618" t="s">
        <v>542</v>
      </c>
      <c r="BB41" s="2621" t="s">
        <v>544</v>
      </c>
      <c r="BC41" s="2468"/>
      <c r="BI41" s="1496">
        <v>14</v>
      </c>
    </row>
    <row customHeight="1" ht="35.699999999999996">
      <c r="Q42" s="632"/>
      <c r="R42" s="717"/>
      <c r="S42" s="2614"/>
      <c r="T42" s="2550"/>
      <c r="U42" s="1372"/>
      <c r="V42" s="2533" t="s">
        <v>624</v>
      </c>
      <c r="W42" s="2534"/>
      <c r="X42" s="2533" t="s">
        <v>625</v>
      </c>
      <c r="Y42" s="2534"/>
      <c r="Z42" s="2635" t="s">
        <v>626</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624</v>
      </c>
      <c r="AU42" s="2534"/>
      <c r="AV42" s="2533" t="s">
        <v>625</v>
      </c>
      <c r="AW42" s="2534"/>
      <c r="AX42" s="2635" t="s">
        <v>626</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176</v>
      </c>
      <c r="C44" s="1711" t="s">
        <v>177</v>
      </c>
      <c r="D44" s="1711" t="s">
        <v>178</v>
      </c>
      <c r="E44" s="1705" t="s">
        <v>549</v>
      </c>
      <c r="F44" s="1705" t="s">
        <v>550</v>
      </c>
      <c r="G44" s="1705" t="s">
        <v>551</v>
      </c>
      <c r="H44" s="1705" t="s">
        <v>552</v>
      </c>
      <c r="I44" s="1705" t="s">
        <v>553</v>
      </c>
      <c r="J44" s="1705" t="s">
        <v>554</v>
      </c>
      <c r="K44" s="1705" t="s">
        <v>555</v>
      </c>
      <c r="L44" s="1705" t="s">
        <v>530</v>
      </c>
      <c r="Q44" s="632"/>
      <c r="R44" s="717"/>
      <c r="S44" s="2614"/>
      <c r="T44" s="2550"/>
      <c r="U44" s="643"/>
      <c r="V44" s="1820" t="s">
        <v>589</v>
      </c>
      <c r="W44" s="1820" t="s">
        <v>590</v>
      </c>
      <c r="X44" s="1820" t="s">
        <v>589</v>
      </c>
      <c r="Y44" s="1820" t="s">
        <v>590</v>
      </c>
      <c r="Z44" s="1830" t="s">
        <v>558</v>
      </c>
      <c r="AA44" s="2611" t="s">
        <v>559</v>
      </c>
      <c r="AB44" s="2612"/>
      <c r="AC44" s="2620"/>
      <c r="AD44" s="2674"/>
      <c r="AE44" s="2675"/>
      <c r="AF44" s="2675"/>
      <c r="AG44" s="2676"/>
      <c r="AH44" s="2674"/>
      <c r="AI44" s="2675"/>
      <c r="AJ44" s="2675"/>
      <c r="AK44" s="2676"/>
      <c r="AL44" s="2674"/>
      <c r="AM44" s="2675"/>
      <c r="AN44" s="2675"/>
      <c r="AO44" s="2676"/>
      <c r="AP44" s="2674"/>
      <c r="AQ44" s="2675"/>
      <c r="AR44" s="2675"/>
      <c r="AS44" s="2676"/>
      <c r="AT44" s="1820" t="s">
        <v>589</v>
      </c>
      <c r="AU44" s="1820" t="s">
        <v>590</v>
      </c>
      <c r="AV44" s="1820" t="s">
        <v>589</v>
      </c>
      <c r="AW44" s="1820" t="s">
        <v>590</v>
      </c>
      <c r="AX44" s="1830" t="s">
        <v>558</v>
      </c>
      <c r="AY44" s="2611" t="s">
        <v>559</v>
      </c>
      <c r="AZ44" s="2612"/>
      <c r="BA44" s="2620"/>
      <c r="BB44" s="2623"/>
      <c r="BC44" s="2468"/>
      <c r="BI44" s="1496">
        <v>14</v>
      </c>
    </row>
    <row s="22350"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145</v>
      </c>
      <c r="T45" s="1596" t="s">
        <v>103</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375</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164</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375</v>
      </c>
      <c r="B47" s="1704" t="s">
        <v>376</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511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512</v>
      </c>
      <c r="BE47" s="841"/>
      <c r="BF47" s="841" t="str">
        <f>IF(T47="","",T47)</f>
        <v>Территория действия тарифа</v>
      </c>
      <c r="BG47" s="841"/>
      <c r="BH47" s="841"/>
      <c r="BI47" s="1496">
        <v>21</v>
      </c>
    </row>
    <row customHeight="1" ht="35.699999999999996">
      <c r="A48" s="1704" t="s">
        <v>375</v>
      </c>
      <c r="B48" s="1704" t="s">
        <v>376</v>
      </c>
      <c r="C48" s="1704" t="s">
        <v>377</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642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643</v>
      </c>
      <c r="BE48" s="841"/>
      <c r="BF48" s="841" t="str">
        <f>IF(T48="","",T48)</f>
        <v>Наименование централизованной системы горячего водоснабжения</v>
      </c>
      <c r="BG48" s="841"/>
      <c r="BH48" s="841"/>
      <c r="BI48" s="1496">
        <v>34</v>
      </c>
    </row>
    <row s="21688" customFormat="1" customHeight="1" ht="0">
      <c r="A49" s="1684" t="s">
        <v>375</v>
      </c>
      <c r="B49" s="1684" t="s">
        <v>376</v>
      </c>
      <c r="C49" s="1684" t="s">
        <v>377</v>
      </c>
      <c r="D49" s="1684" t="s">
        <v>656</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516</v>
      </c>
      <c r="BE49" s="841"/>
      <c r="BF49" s="841" t="str">
        <f>IF(T49="","",T49)</f>
        <v/>
      </c>
      <c r="BG49" s="841"/>
      <c r="BH49" s="841"/>
      <c r="BI49" s="852">
        <v>0</v>
      </c>
    </row>
    <row s="21688" customFormat="1" customHeight="1" ht="0">
      <c r="A50" s="1684" t="s">
        <v>375</v>
      </c>
      <c r="B50" s="1684" t="s">
        <v>376</v>
      </c>
      <c r="C50" s="1684" t="s">
        <v>377</v>
      </c>
      <c r="D50" s="1684" t="s">
        <v>656</v>
      </c>
      <c r="E50" s="2600"/>
      <c r="F50" s="2600"/>
      <c r="G50" s="2600"/>
      <c r="H50" s="2600"/>
      <c r="I50" s="2597" t="str">
        <f>S49&amp;".1"</f>
        <v>.1</v>
      </c>
      <c r="J50" s="1684"/>
      <c r="K50" s="1684"/>
      <c r="L50" s="1687" t="s">
        <v>517</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21688" customFormat="1" customHeight="1" ht="0">
      <c r="A51" s="1684" t="s">
        <v>375</v>
      </c>
      <c r="B51" s="1684" t="s">
        <v>376</v>
      </c>
      <c r="C51" s="1684" t="s">
        <v>377</v>
      </c>
      <c r="D51" s="1684" t="s">
        <v>656</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375</v>
      </c>
      <c r="B52" s="1704" t="s">
        <v>376</v>
      </c>
      <c r="C52" s="1704" t="s">
        <v>377</v>
      </c>
      <c r="D52" s="1704" t="s">
        <v>656</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613</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614</v>
      </c>
      <c r="AT53" s="1734"/>
      <c r="AU53" s="1837"/>
      <c r="AV53" s="1734"/>
      <c r="AW53" s="1837"/>
      <c r="AX53" s="1734"/>
      <c r="AY53" s="1734"/>
      <c r="AZ53" s="1734"/>
      <c r="BA53" s="1734"/>
      <c r="BB53" s="1738"/>
      <c r="BC53" s="2595"/>
      <c r="BE53" s="841"/>
      <c r="BF53" s="841"/>
      <c r="BG53" s="841"/>
      <c r="BH53" s="841"/>
      <c r="BI53" s="1496">
        <v>11</v>
      </c>
    </row>
    <row customHeight="1" ht="11.549999999999999">
      <c r="A54" s="1704" t="s">
        <v>375</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615</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375</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616</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375</v>
      </c>
      <c r="B56" s="1704" t="s">
        <v>376</v>
      </c>
      <c r="C56" s="1704" t="s">
        <v>377</v>
      </c>
      <c r="D56" s="1704" t="s">
        <v>656</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617</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375</v>
      </c>
      <c r="B57" s="1704" t="s">
        <v>376</v>
      </c>
      <c r="C57" s="1704" t="s">
        <v>377</v>
      </c>
      <c r="D57" s="1704" t="s">
        <v>656</v>
      </c>
      <c r="E57" s="2600"/>
      <c r="F57" s="2600"/>
      <c r="G57" s="2600"/>
      <c r="H57" s="2600"/>
      <c r="I57" s="2627"/>
      <c r="J57" s="2597"/>
      <c r="K57" s="1704"/>
      <c r="L57" s="1705"/>
      <c r="P57" s="2598"/>
      <c r="Q57" s="2598"/>
      <c r="R57" s="697"/>
      <c r="S57" s="1619"/>
      <c r="T57" s="628" t="s">
        <v>579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21688" customFormat="1" customHeight="1" ht="0">
      <c r="A58" s="1684" t="s">
        <v>375</v>
      </c>
      <c r="B58" s="1684" t="s">
        <v>376</v>
      </c>
      <c r="C58" s="1684" t="s">
        <v>377</v>
      </c>
      <c r="D58" s="1684" t="s">
        <v>656</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21688" customFormat="1" customHeight="1" ht="0">
      <c r="A59" s="1684" t="s">
        <v>375</v>
      </c>
      <c r="B59" s="1684" t="s">
        <v>376</v>
      </c>
      <c r="C59" s="1684" t="s">
        <v>377</v>
      </c>
      <c r="D59" s="1684" t="s">
        <v>656</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21688" customFormat="1" customHeight="1" ht="0">
      <c r="A60" s="1684" t="s">
        <v>375</v>
      </c>
      <c r="B60" s="1684" t="s">
        <v>376</v>
      </c>
      <c r="C60" s="1684" t="s">
        <v>377</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21688" customFormat="1" customHeight="1" ht="0">
      <c r="A61" s="1684" t="s">
        <v>375</v>
      </c>
      <c r="B61" s="1684" t="s">
        <v>376</v>
      </c>
      <c r="C61" s="1655"/>
      <c r="D61" s="1655"/>
      <c r="E61" s="2600"/>
      <c r="F61" s="2599"/>
      <c r="G61" s="1655"/>
      <c r="H61" s="1655"/>
      <c r="I61" s="1655"/>
      <c r="J61" s="1655"/>
      <c r="K61" s="1655"/>
      <c r="L61" s="1835"/>
      <c r="M61" s="1662"/>
      <c r="N61" s="1662"/>
      <c r="P61" s="1657"/>
      <c r="Q61" s="1658"/>
      <c r="R61" s="1657"/>
      <c r="S61" s="1663"/>
      <c r="T61" s="1666" t="s">
        <v>280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21688" customFormat="1" customHeight="1" ht="0">
      <c r="A62" s="1684" t="s">
        <v>375</v>
      </c>
      <c r="B62" s="1684"/>
      <c r="C62" s="1684"/>
      <c r="D62" s="1684"/>
      <c r="E62" s="2599"/>
      <c r="F62" s="1684"/>
      <c r="G62" s="1684"/>
      <c r="H62" s="1684"/>
      <c r="I62" s="1684"/>
      <c r="J62" s="1684"/>
      <c r="K62" s="1684"/>
      <c r="L62" s="1687"/>
      <c r="M62" s="1662"/>
      <c r="N62" s="1662"/>
      <c r="O62" s="859"/>
      <c r="P62" s="721"/>
      <c r="Q62" s="1685"/>
      <c r="R62" s="721"/>
      <c r="S62" s="1663"/>
      <c r="T62" s="1666" t="s">
        <v>339</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21688"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340</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7ABC8-8706-FBDD-A0DC-DDC419CECB4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6520" width="10.7109375" hidden="1" customWidth="1"/>
    <col min="2" max="2" style="21687" width="16.8515625" hidden="1" customWidth="1"/>
    <col min="3" max="3" style="21688" width="5.57421875" hidden="1" customWidth="1"/>
    <col min="4" max="4" style="21605" width="3.00390625" customWidth="1"/>
    <col min="5" max="5" style="21605" width="7.00390625" customWidth="1"/>
    <col min="6" max="6" style="21605" width="54.00390625" customWidth="1"/>
    <col min="7" max="7" style="21605" width="10.00390625" customWidth="1"/>
    <col min="8" max="8" style="21605" width="40.7109375" hidden="1" customWidth="1"/>
    <col min="9" max="9" style="21605" width="40.7109375" customWidth="1"/>
    <col min="10" max="10" style="21605" width="102.00390625" customWidth="1"/>
    <col min="11" max="11" style="21687" width="9.00390625" customWidth="1"/>
    <col min="12" max="12" style="21688" width="5.00390625" customWidth="1"/>
    <col min="13" max="13" style="21688" width="3.00390625" customWidth="1"/>
    <col min="14" max="17" style="21687" width="3.00390625" customWidth="1"/>
    <col min="18" max="18" style="21688" width="10.00390625" customWidth="1"/>
    <col min="19" max="19" style="21687" width="34.00390625" customWidth="1"/>
    <col min="20" max="20" style="21687" width="9.00390625" customWidth="1"/>
    <col min="21" max="21" style="26521" width="8.00390625" customWidth="1"/>
    <col min="22" max="26" style="21687" width="8.00390625" customWidth="1"/>
    <col min="27" max="31" style="21569" width="8.00390625" customWidth="1"/>
    <col min="32" max="32" style="21605" width="9.140625" hidden="1"/>
  </cols>
  <sheetData>
    <row customHeight="1" ht="22.5" hidden="1">
      <c r="AF1" s="1972" t="s">
        <v>14</v>
      </c>
    </row>
    <row customHeight="1" ht="23.25" hidden="1">
      <c r="B2" s="2440"/>
      <c r="C2" s="1508" t="s">
        <v>657</v>
      </c>
      <c r="D2" s="1979"/>
      <c r="E2" s="887">
        <f>B2</f>
        <v>0</v>
      </c>
      <c r="F2" s="888"/>
      <c r="G2" s="1987" t="s">
        <v>658</v>
      </c>
      <c r="H2" s="1987" t="s">
        <v>658</v>
      </c>
      <c r="I2" s="1987" t="s">
        <v>658</v>
      </c>
      <c r="J2" s="630" t="s">
        <v>659</v>
      </c>
      <c r="K2" s="884"/>
      <c r="AF2" s="1972">
        <v>0</v>
      </c>
    </row>
    <row s="21688" customFormat="1" customHeight="1" ht="0.75" hidden="1">
      <c r="B3" s="2440"/>
      <c r="C3" s="1508"/>
      <c r="D3" s="889"/>
      <c r="E3" s="890"/>
      <c r="F3" s="891" t="s">
        <v>660</v>
      </c>
      <c r="G3" s="892"/>
      <c r="H3" s="892">
        <f>H4*H5+H7</f>
        <v>0</v>
      </c>
      <c r="I3" s="892">
        <f>I4*I5+I6</f>
        <v>0</v>
      </c>
      <c r="J3" s="893"/>
      <c r="AF3" s="1977">
        <v>0</v>
      </c>
    </row>
    <row customHeight="1" ht="23.25" hidden="1">
      <c r="B4" s="2440"/>
      <c r="C4" s="1508"/>
      <c r="D4" s="1979"/>
      <c r="E4" s="887" t="str">
        <f>B2&amp;".1"</f>
        <v>.1</v>
      </c>
      <c r="F4" s="894" t="s">
        <v>661</v>
      </c>
      <c r="G4" s="895"/>
      <c r="H4" s="882"/>
      <c r="I4" s="882"/>
      <c r="J4" s="630" t="s">
        <v>662</v>
      </c>
      <c r="K4" s="884"/>
      <c r="AF4" s="1972">
        <v>0</v>
      </c>
    </row>
    <row customHeight="1" ht="18.75" hidden="1">
      <c r="B5" s="2440"/>
      <c r="C5" s="1508"/>
      <c r="D5" s="1979"/>
      <c r="E5" s="887" t="str">
        <f>B2&amp;".2"</f>
        <v>.2</v>
      </c>
      <c r="F5" s="894" t="s">
        <v>663</v>
      </c>
      <c r="G5" s="1987" t="s">
        <v>664</v>
      </c>
      <c r="H5" s="882"/>
      <c r="I5" s="882"/>
      <c r="J5" s="630"/>
      <c r="K5" s="884"/>
      <c r="AF5" s="1972">
        <v>0</v>
      </c>
    </row>
    <row customHeight="1" ht="18.75" hidden="1">
      <c r="B6" s="2440"/>
      <c r="C6" s="1508"/>
      <c r="D6" s="1979"/>
      <c r="E6" s="887" t="str">
        <f>B2&amp;".3"</f>
        <v>.3</v>
      </c>
      <c r="F6" s="894" t="s">
        <v>665</v>
      </c>
      <c r="G6" s="1987" t="s">
        <v>664</v>
      </c>
      <c r="H6" s="882"/>
      <c r="I6" s="882"/>
      <c r="J6" s="630"/>
      <c r="K6" s="884"/>
      <c r="AF6" s="1972">
        <v>0</v>
      </c>
    </row>
    <row customHeight="1" ht="18.75" hidden="1">
      <c r="B7" s="2440"/>
      <c r="C7" s="1508"/>
      <c r="D7" s="1979"/>
      <c r="E7" s="887" t="str">
        <f>B2&amp;".4"</f>
        <v>.4</v>
      </c>
      <c r="F7" s="894" t="s">
        <v>666</v>
      </c>
      <c r="G7" s="1987" t="s">
        <v>658</v>
      </c>
      <c r="H7" s="896"/>
      <c r="I7" s="896"/>
      <c r="J7" s="630"/>
      <c r="K7" s="884"/>
      <c r="AF7" s="1972">
        <v>0</v>
      </c>
    </row>
    <row s="21687" customFormat="1" customHeight="1" ht="11.25" hidden="1">
      <c r="A8" s="1328"/>
      <c r="C8" s="1977"/>
      <c r="D8" s="878"/>
      <c r="H8" s="1501">
        <v>4</v>
      </c>
      <c r="I8" s="1501">
        <v>4</v>
      </c>
      <c r="L8" s="1977"/>
      <c r="M8" s="1977"/>
      <c r="R8" s="1977"/>
      <c r="AF8" s="1501">
        <v>0</v>
      </c>
    </row>
    <row s="21687" customFormat="1" customHeight="1" ht="22.5" hidden="1">
      <c r="A9" s="1328"/>
      <c r="C9" s="1977"/>
      <c r="D9" s="879"/>
      <c r="E9" s="1989"/>
      <c r="F9" s="881"/>
      <c r="G9" s="1987" t="s">
        <v>664</v>
      </c>
      <c r="H9" s="882"/>
      <c r="I9" s="882"/>
      <c r="J9" s="883" t="s">
        <v>667</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668</v>
      </c>
      <c r="H11" s="882"/>
      <c r="I11" s="882"/>
      <c r="J11" s="630" t="s">
        <v>669</v>
      </c>
      <c r="K11" s="884"/>
      <c r="AF11" s="1972">
        <v>0</v>
      </c>
    </row>
    <row customHeight="1" ht="11.25" hidden="1">
      <c r="AF12" s="1972">
        <v>0</v>
      </c>
    </row>
    <row customHeight="1" ht="22.5" hidden="1">
      <c r="D13" s="1979"/>
      <c r="E13" s="887"/>
      <c r="F13" s="881"/>
      <c r="G13" s="1310" t="s">
        <v>670</v>
      </c>
      <c r="H13" s="886"/>
      <c r="I13" s="886"/>
      <c r="J13" s="1086" t="s">
        <v>671</v>
      </c>
      <c r="K13" s="884"/>
      <c r="AF13" s="1972">
        <v>0</v>
      </c>
    </row>
    <row customHeight="1" ht="11.25" hidden="1">
      <c r="AF14" s="1972">
        <v>0</v>
      </c>
    </row>
    <row customHeight="1" ht="22.5" hidden="1">
      <c r="D15" s="1979"/>
      <c r="E15" s="887"/>
      <c r="F15" s="881"/>
      <c r="G15" s="1987" t="s">
        <v>672</v>
      </c>
      <c r="H15" s="886"/>
      <c r="I15" s="886"/>
      <c r="J15" s="630" t="s">
        <v>673</v>
      </c>
      <c r="K15" s="884"/>
      <c r="AF15" s="1972">
        <v>0</v>
      </c>
    </row>
    <row customHeight="1" ht="11.25" hidden="1">
      <c r="AF16" s="1972">
        <v>0</v>
      </c>
    </row>
    <row customHeight="1" ht="22.5" hidden="1">
      <c r="D17" s="1979"/>
      <c r="E17" s="887"/>
      <c r="F17" s="881"/>
      <c r="G17" s="1987" t="s">
        <v>674</v>
      </c>
      <c r="H17" s="886"/>
      <c r="I17" s="886"/>
      <c r="J17" s="630" t="s">
        <v>675</v>
      </c>
      <c r="K17" s="884"/>
      <c r="AF17" s="1972">
        <v>0</v>
      </c>
    </row>
    <row customHeight="1" ht="11.25" hidden="1">
      <c r="AF18" s="1972">
        <v>0</v>
      </c>
    </row>
    <row s="21569"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89"/>
      <c r="G21" s="2589"/>
      <c r="H21" s="2589"/>
      <c r="I21" s="2589"/>
      <c r="J21" s="897"/>
      <c r="AF21" s="1972">
        <v>24</v>
      </c>
    </row>
    <row customHeight="1" ht="25.2">
      <c r="E22" s="2590" t="str">
        <f>IF(org=0,"Не определено",org)</f>
        <v>КГУП "Примтеплоэнерго"</v>
      </c>
      <c r="F22" s="2590"/>
      <c r="G22" s="2590"/>
      <c r="H22" s="2590"/>
      <c r="I22" s="2590"/>
      <c r="AF22" s="1972">
        <v>24</v>
      </c>
    </row>
    <row customHeight="1" ht="11.549999999999999">
      <c r="E23" s="1476"/>
      <c r="F23" s="1476"/>
      <c r="G23" s="1476"/>
      <c r="H23" s="1476"/>
      <c r="I23" s="1476"/>
      <c r="AF23" s="1972">
        <v>11</v>
      </c>
    </row>
    <row s="21688" customFormat="1" customHeight="1" ht="1.05">
      <c r="A24" s="1508"/>
      <c r="D24" s="1983"/>
      <c r="H24" s="1230"/>
      <c r="I24" s="1230" t="s">
        <v>158</v>
      </c>
      <c r="AF24" s="1977">
        <v>1</v>
      </c>
    </row>
    <row customHeight="1" ht="11.549999999999999">
      <c r="E25" s="1052"/>
      <c r="F25" s="2708" t="s">
        <v>150</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676</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677</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414</v>
      </c>
      <c r="F28" s="2711"/>
      <c r="G28" s="2711"/>
      <c r="H28" s="1986"/>
      <c r="I28" s="1986"/>
      <c r="J28" s="2468"/>
      <c r="AF28" s="1972">
        <v>11</v>
      </c>
    </row>
    <row customHeight="1" ht="24">
      <c r="E29" s="1987" t="s">
        <v>88</v>
      </c>
      <c r="F29" s="1994" t="s">
        <v>416</v>
      </c>
      <c r="G29" s="1994" t="s">
        <v>678</v>
      </c>
      <c r="H29" s="1994" t="s">
        <v>417</v>
      </c>
      <c r="I29" s="1994" t="s">
        <v>417</v>
      </c>
      <c r="J29" s="2468"/>
      <c r="AF29" s="1972">
        <v>23</v>
      </c>
    </row>
    <row customHeight="1" ht="19.95">
      <c r="D30" s="1979"/>
      <c r="E30" s="887">
        <f>FHD_NUM_P_1</f>
        <v>1</v>
      </c>
      <c r="F30" s="2221" t="str">
        <f>FHD_P_1</f>
        <v>Выручка от регулируемых видов деятельности в сфере холодного водоснабжения</v>
      </c>
      <c r="G30" s="2219" t="s">
        <v>664</v>
      </c>
      <c r="H30" s="898"/>
      <c r="I30" s="898"/>
      <c r="J30" s="630" t="str">
        <f>FHD_NOTE_P_1</f>
        <v>Указывается выручка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регулируемым видам деятельности в сфере холодного водоснабжения, включая:</v>
      </c>
      <c r="G31" s="2219" t="s">
        <v>664</v>
      </c>
      <c r="H31" s="899">
        <f>SUMIF($K33:$K71,$K31,H33:H71)</f>
        <v>0</v>
      </c>
      <c r="I31" s="899">
        <f>SUMIF($K33:$K71,$K31,I33:I71)</f>
        <v>0</v>
      </c>
      <c r="J31" s="630" t="str">
        <f>FHD_NOTE_P_2</f>
        <v>Указывается суммарная себестоимость производимых товаров.</v>
      </c>
      <c r="K31" s="1977" t="s">
        <v>679</v>
      </c>
      <c r="AF31" s="1972">
        <v>11</v>
      </c>
    </row>
    <row customHeight="1" ht="11.549999999999999">
      <c r="D32" s="1979"/>
      <c r="E32" s="887" t="str">
        <f>FHD_NUM_P_3</f>
        <v>2.1</v>
      </c>
      <c r="F32" s="1865" t="str">
        <f>FHD_P_3</f>
        <v>Расходы на оплату холодной воды, приобретаемой у других организаций для последующей подачи потребителям</v>
      </c>
      <c r="G32" s="2219" t="s">
        <v>664</v>
      </c>
      <c r="H32" s="898"/>
      <c r="I32" s="898"/>
      <c r="J32" s="630" t="str">
        <f>FHD_NOTE_P_3</f>
        <v/>
      </c>
      <c r="K32" s="1977" t="str">
        <f>IF((LEN(E32)-LEN(SUBSTITUTE(E32,".","")))/LEN(".")=1,"p","")</f>
        <v>p</v>
      </c>
      <c r="AF32" s="1972">
        <v>11</v>
      </c>
    </row>
    <row customHeight="1" ht="11.25" hidden="1">
      <c r="A33" s="2712" t="s">
        <v>680</v>
      </c>
      <c r="D33" s="1979"/>
      <c r="E33" s="887" t="str">
        <f>FHD_NUM_P_4</f>
        <v/>
      </c>
      <c r="F33" s="1865" t="str">
        <f>FHD_P_4</f>
        <v/>
      </c>
      <c r="G33" s="2219" t="s">
        <v>664</v>
      </c>
      <c r="H33" s="899">
        <f>SUMIF($F34:$F40,$F3,H34:H40)</f>
        <v>0</v>
      </c>
      <c r="I33" s="899">
        <f>SUMIF($F34:$F40,$F3,I34:I40)</f>
        <v>0</v>
      </c>
      <c r="J33" s="630" t="str">
        <f>FHD_NOTE_P_4</f>
        <v/>
      </c>
      <c r="K33" s="1977" t="str">
        <f>IF((LEN(E33)-LEN(SUBSTITUTE(E33,".","")))/LEN(".")=1,"p","")</f>
        <v/>
      </c>
      <c r="AF33" s="1972">
        <v>0</v>
      </c>
    </row>
    <row s="22350" customFormat="1" customHeight="1" ht="0.75" hidden="1">
      <c r="A34" s="2712"/>
      <c r="B34" s="2713" t="str">
        <f>E33&amp;".0"</f>
        <v>.0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22350" customFormat="1" customHeight="1" ht="0.75" hidden="1">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22350" customFormat="1" customHeight="1" ht="0.75" hidden="1">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22350" customFormat="1" customHeight="1" ht="0.75" hidden="1">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22350" customFormat="1" customHeight="1" ht="0.75" hidden="1">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22350" customFormat="1" customHeight="1" ht="0.75" hidden="1">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21687" customFormat="1" customHeight="1" ht="15" hidden="1">
      <c r="A40" s="2712"/>
      <c r="C40" s="1977"/>
      <c r="D40" s="1974"/>
      <c r="E40" s="911"/>
      <c r="F40" s="912" t="s">
        <v>681</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682</v>
      </c>
      <c r="D41" s="1979"/>
      <c r="E41" s="887" t="str">
        <f>FHD_NUM_P_5</f>
        <v/>
      </c>
      <c r="F41" s="1865" t="str">
        <f>FHD_P_5</f>
        <v/>
      </c>
      <c r="G41" s="2219" t="s">
        <v>664</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664</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664</v>
      </c>
      <c r="H43" s="898"/>
      <c r="I43" s="898"/>
      <c r="J43" s="630" t="str">
        <f>FHD_NOTE_P_7</f>
        <v/>
      </c>
      <c r="K43" s="1977" t="str">
        <f>IF((LEN(E43)-LEN(SUBSTITUTE(E43,".","")))/LEN(".")=1,"p","")</f>
        <v/>
      </c>
      <c r="AF43" s="1972">
        <v>0</v>
      </c>
    </row>
    <row customHeight="1" ht="11.549999999999999">
      <c r="D44" s="1979"/>
      <c r="E44" s="887" t="str">
        <f>FHD_NUM_P_8</f>
        <v>2.2</v>
      </c>
      <c r="F44" s="1865" t="str">
        <f>FHD_P_8</f>
        <v>Расходы на приобретаемую электрическую энергию (мощность), используемую в технологическом процессе</v>
      </c>
      <c r="G44" s="2219" t="s">
        <v>664</v>
      </c>
      <c r="H44" s="898"/>
      <c r="I44" s="898"/>
      <c r="J44" s="630" t="str">
        <f>FHD_NOTE_P_8</f>
        <v/>
      </c>
      <c r="K44" s="1977" t="str">
        <f>IF((LEN(E44)-LEN(SUBSTITUTE(E44,".","")))/LEN(".")=1,"p","")</f>
        <v>p</v>
      </c>
      <c r="AF44" s="1972">
        <v>11</v>
      </c>
    </row>
    <row customHeight="1" ht="11.549999999999999">
      <c r="D45" s="1979"/>
      <c r="E45" s="887" t="str">
        <f>FHD_NUM_P_9</f>
        <v>2.2.1</v>
      </c>
      <c r="F45" s="1991" t="str">
        <f>FHD_P_9</f>
        <v>Средневзвешенная стоимость 1 кВт.ч (с учетом мощности)</v>
      </c>
      <c r="G45" s="2219" t="s">
        <v>683</v>
      </c>
      <c r="H45" s="898"/>
      <c r="I45" s="898"/>
      <c r="J45" s="630" t="str">
        <f>FHD_NOTE_P_9</f>
        <v/>
      </c>
      <c r="K45" s="1977" t="str">
        <f>IF((LEN(E45)-LEN(SUBSTITUTE(E45,".","")))/LEN(".")=1,"p","")</f>
        <v/>
      </c>
      <c r="AF45" s="1972">
        <v>11</v>
      </c>
    </row>
    <row s="21687" customFormat="1" customHeight="1" ht="11.549999999999999">
      <c r="A46" s="1328"/>
      <c r="C46" s="1977"/>
      <c r="D46" s="915"/>
      <c r="E46" s="887" t="str">
        <f>FHD_NUM_P_10</f>
        <v>2.2.2</v>
      </c>
      <c r="F46" s="1991" t="str">
        <f>FHD_P_10</f>
        <v>Объём приобретения электрической энергии</v>
      </c>
      <c r="G46" s="2219" t="s">
        <v>684</v>
      </c>
      <c r="H46" s="898"/>
      <c r="I46" s="898"/>
      <c r="J46" s="630" t="str">
        <f>FHD_NOTE_P_10</f>
        <v/>
      </c>
      <c r="K46" s="1977" t="str">
        <f>IF((LEN(E46)-LEN(SUBSTITUTE(E46,".","")))/LEN(".")=1,"p","")</f>
        <v/>
      </c>
      <c r="L46" s="1977"/>
      <c r="M46" s="1977"/>
      <c r="R46" s="1977"/>
      <c r="U46" s="885"/>
      <c r="AA46" s="1973"/>
      <c r="AB46" s="1973"/>
      <c r="AC46" s="1973"/>
      <c r="AD46" s="1973"/>
      <c r="AE46" s="1973"/>
      <c r="AF46" s="1501">
        <v>11</v>
      </c>
    </row>
    <row s="21687" customFormat="1" customHeight="1" ht="11.25" hidden="1">
      <c r="A47" s="1330" t="s">
        <v>685</v>
      </c>
      <c r="C47" s="1977"/>
      <c r="D47" s="916"/>
      <c r="E47" s="887" t="str">
        <f>FHD_NUM_P_11</f>
        <v/>
      </c>
      <c r="F47" s="1865" t="str">
        <f>FHD_P_11</f>
        <v/>
      </c>
      <c r="G47" s="2219" t="s">
        <v>664</v>
      </c>
      <c r="H47" s="898"/>
      <c r="I47" s="898"/>
      <c r="J47" s="630" t="str">
        <f>FHD_NOTE_P_11</f>
        <v/>
      </c>
      <c r="K47" s="1977" t="str">
        <f>IF((LEN(E47)-LEN(SUBSTITUTE(E47,".","")))/LEN(".")=1,"p","")</f>
        <v/>
      </c>
      <c r="L47" s="1977"/>
      <c r="M47" s="1977"/>
      <c r="R47" s="1977"/>
      <c r="U47" s="885"/>
      <c r="AA47" s="1973"/>
      <c r="AB47" s="1973"/>
      <c r="AC47" s="1973"/>
      <c r="AD47" s="1973"/>
      <c r="AE47" s="1973"/>
      <c r="AF47" s="1501">
        <v>0</v>
      </c>
    </row>
    <row s="21687" customFormat="1" customHeight="1" ht="18.75">
      <c r="A48" s="1330" t="s">
        <v>686</v>
      </c>
      <c r="C48" s="1977"/>
      <c r="D48" s="1979"/>
      <c r="E48" s="887" t="str">
        <f>FHD_NUM_P_12</f>
        <v>2.3</v>
      </c>
      <c r="F48" s="1865" t="str">
        <f>FHD_P_12</f>
        <v>Расходы на химические реагенты, используемые в технологическом процессе</v>
      </c>
      <c r="G48" s="2219" t="s">
        <v>664</v>
      </c>
      <c r="H48" s="918"/>
      <c r="I48" s="918"/>
      <c r="J48" s="630" t="str">
        <f>FHD_NOTE_P_12</f>
        <v/>
      </c>
      <c r="K48" s="1977" t="str">
        <f>IF((LEN(E48)-LEN(SUBSTITUTE(E48,".","")))/LEN(".")=1,"p","")</f>
        <v>p</v>
      </c>
      <c r="L48" s="1977"/>
      <c r="M48" s="1977"/>
      <c r="R48" s="1977"/>
      <c r="U48" s="885"/>
      <c r="AA48" s="1973"/>
      <c r="AB48" s="1973"/>
      <c r="AC48" s="1973"/>
      <c r="AD48" s="1973"/>
      <c r="AE48" s="1973"/>
      <c r="AF48" s="1501">
        <v>18</v>
      </c>
    </row>
    <row s="26459" customFormat="1" customHeight="1" ht="11.549999999999999">
      <c r="A49" s="1329"/>
      <c r="C49" s="1071"/>
      <c r="D49" s="1014"/>
      <c r="E49" s="887" t="str">
        <f>FHD_NUM_P_13</f>
        <v>2.4</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664</v>
      </c>
      <c r="H49" s="898"/>
      <c r="I49" s="898"/>
      <c r="J49" s="630" t="str">
        <f>FHD_NOTE_P_13</f>
        <v>Указывается общая сумма расходов на оплату труда и отчислений на социальные нужды основного производственного персонала.</v>
      </c>
      <c r="K49" s="1977" t="str">
        <f>IF((LEN(E49)-LEN(SUBSTITUTE(E49,".","")))/LEN(".")=1,"p","")</f>
        <v>p</v>
      </c>
      <c r="L49" s="1071"/>
      <c r="M49" s="1071"/>
      <c r="R49" s="1071"/>
      <c r="U49" s="1072"/>
      <c r="AA49" s="1073"/>
      <c r="AB49" s="1073"/>
      <c r="AC49" s="1073"/>
      <c r="AD49" s="1073"/>
      <c r="AE49" s="1073"/>
      <c r="AF49" s="1070">
        <v>11</v>
      </c>
    </row>
    <row s="26459" customFormat="1" customHeight="1" ht="11.549999999999999">
      <c r="A50" s="1329"/>
      <c r="C50" s="1071"/>
      <c r="D50" s="1014"/>
      <c r="E50" s="887" t="str">
        <f>FHD_NUM_P_14</f>
        <v>2.4.1</v>
      </c>
      <c r="F50" s="1991" t="str">
        <f>FHD_P_14</f>
        <v>Расходы на оплату труда основного производственного персонала</v>
      </c>
      <c r="G50" s="2219" t="s">
        <v>664</v>
      </c>
      <c r="H50" s="898"/>
      <c r="I50" s="898"/>
      <c r="J50" s="630" t="str">
        <f>FHD_NOTE_P_14</f>
        <v/>
      </c>
      <c r="K50" s="1977" t="str">
        <f>IF((LEN(E50)-LEN(SUBSTITUTE(E50,".","")))/LEN(".")=1,"p","")</f>
        <v/>
      </c>
      <c r="L50" s="1071"/>
      <c r="M50" s="1071"/>
      <c r="R50" s="1071"/>
      <c r="U50" s="1072"/>
      <c r="AA50" s="1073"/>
      <c r="AB50" s="1073"/>
      <c r="AC50" s="1073"/>
      <c r="AD50" s="1073"/>
      <c r="AE50" s="1073"/>
      <c r="AF50" s="1070">
        <v>11</v>
      </c>
    </row>
    <row s="26459" customFormat="1" customHeight="1" ht="11.549999999999999">
      <c r="A51" s="1329"/>
      <c r="C51" s="1071"/>
      <c r="D51" s="1014"/>
      <c r="E51" s="887" t="str">
        <f>FHD_NUM_P_15</f>
        <v>2.4.2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664</v>
      </c>
      <c r="H51" s="898"/>
      <c r="I51" s="898"/>
      <c r="J51" s="630" t="str">
        <f>FHD_NOTE_P_15</f>
        <v/>
      </c>
      <c r="K51" s="1977" t="str">
        <f>IF((LEN(E51)-LEN(SUBSTITUTE(E51,".","")))/LEN(".")=1,"p","")</f>
        <v/>
      </c>
      <c r="L51" s="1071"/>
      <c r="M51" s="1071"/>
      <c r="R51" s="1071"/>
      <c r="U51" s="1072"/>
      <c r="AA51" s="1073"/>
      <c r="AB51" s="1073"/>
      <c r="AC51" s="1073"/>
      <c r="AD51" s="1073"/>
      <c r="AE51" s="1073"/>
      <c r="AF51" s="1070">
        <v>11</v>
      </c>
    </row>
    <row s="21687" customFormat="1" customHeight="1" ht="11.549999999999999">
      <c r="A52" s="1328"/>
      <c r="C52" s="1977"/>
      <c r="D52" s="1979"/>
      <c r="E52" s="887" t="str">
        <f>FHD_NUM_P_16</f>
        <v>2.5</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664</v>
      </c>
      <c r="H52" s="898"/>
      <c r="I52" s="898"/>
      <c r="J52" s="630" t="str">
        <f>FHD_NOTE_P_16</f>
        <v>Указывается общая сумма расходов на оплату труда и отчислений на социальные нужды административно-управленческого персонала.</v>
      </c>
      <c r="K52" s="1977" t="str">
        <f>IF((LEN(E52)-LEN(SUBSTITUTE(E52,".","")))/LEN(".")=1,"p","")</f>
        <v>p</v>
      </c>
      <c r="L52" s="1977"/>
      <c r="M52" s="1983"/>
      <c r="N52" s="878"/>
      <c r="O52" s="878"/>
      <c r="R52" s="1977"/>
      <c r="U52" s="885"/>
      <c r="AA52" s="1973"/>
      <c r="AB52" s="1973"/>
      <c r="AC52" s="1973"/>
      <c r="AD52" s="1973"/>
      <c r="AE52" s="1973"/>
      <c r="AF52" s="1501">
        <v>11</v>
      </c>
    </row>
    <row s="21687" customFormat="1" customHeight="1" ht="11.549999999999999">
      <c r="A53" s="1328"/>
      <c r="C53" s="1977"/>
      <c r="D53" s="1979"/>
      <c r="E53" s="887" t="str">
        <f>FHD_NUM_P_17</f>
        <v>2.5.1</v>
      </c>
      <c r="F53" s="1991" t="str">
        <f>FHD_P_17</f>
        <v>Расходы на оплату труда административно-управленческого персонала</v>
      </c>
      <c r="G53" s="2219" t="s">
        <v>664</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21687" customFormat="1" customHeight="1" ht="11.549999999999999">
      <c r="A54" s="1328"/>
      <c r="C54" s="1977"/>
      <c r="D54" s="1979"/>
      <c r="E54" s="887" t="str">
        <f>FHD_NUM_P_18</f>
        <v>2.5.2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664</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21687" customFormat="1" customHeight="1" ht="11.549999999999999">
      <c r="A55" s="1328"/>
      <c r="C55" s="1977"/>
      <c r="D55" s="916"/>
      <c r="E55" s="887" t="str">
        <f>FHD_NUM_P_19</f>
        <v>2.6</v>
      </c>
      <c r="F55" s="1865" t="str">
        <f>FHD_P_19</f>
        <v>Расходы на амортизацию основных средств и нематериальных активов</v>
      </c>
      <c r="G55" s="2219" t="s">
        <v>664</v>
      </c>
      <c r="H55" s="898"/>
      <c r="I55" s="898"/>
      <c r="J55" s="630" t="str">
        <f>FHD_NOTE_P_19</f>
        <v/>
      </c>
      <c r="K55" s="1977" t="str">
        <f>IF((LEN(E55)-LEN(SUBSTITUTE(E55,".","")))/LEN(".")=1,"p","")</f>
        <v>p</v>
      </c>
      <c r="L55" s="1977"/>
      <c r="M55" s="1977"/>
      <c r="R55" s="1977"/>
      <c r="U55" s="885"/>
      <c r="AA55" s="1973"/>
      <c r="AB55" s="1973"/>
      <c r="AC55" s="1973"/>
      <c r="AD55" s="1973"/>
      <c r="AE55" s="1973"/>
      <c r="AF55" s="1501">
        <v>11</v>
      </c>
    </row>
    <row s="21687" customFormat="1" customHeight="1" ht="11.549999999999999">
      <c r="A56" s="1328"/>
      <c r="C56" s="1977"/>
      <c r="D56" s="916"/>
      <c r="E56" s="887" t="str">
        <f>FHD_NUM_P_20</f>
        <v>2.6.1</v>
      </c>
      <c r="F56" s="1991" t="str">
        <f>FHD_P_20</f>
        <v>Расходы на амортизацию основных средств</v>
      </c>
      <c r="G56" s="2219" t="s">
        <v>664</v>
      </c>
      <c r="H56" s="898"/>
      <c r="I56" s="898"/>
      <c r="J56" s="630" t="str">
        <f>FHD_NOTE_P_20</f>
        <v/>
      </c>
      <c r="K56" s="1977" t="str">
        <f>IF((LEN(E56)-LEN(SUBSTITUTE(E56,".","")))/LEN(".")=1,"p","")</f>
        <v/>
      </c>
      <c r="L56" s="1977"/>
      <c r="M56" s="1977"/>
      <c r="R56" s="1977"/>
      <c r="U56" s="885"/>
      <c r="AA56" s="1973"/>
      <c r="AB56" s="1973"/>
      <c r="AC56" s="1973"/>
      <c r="AD56" s="1973"/>
      <c r="AE56" s="1973"/>
      <c r="AF56" s="1501">
        <v>11</v>
      </c>
    </row>
    <row s="21687" customFormat="1" customHeight="1" ht="11.549999999999999">
      <c r="A57" s="1328"/>
      <c r="C57" s="1977"/>
      <c r="D57" s="916"/>
      <c r="E57" s="887" t="str">
        <f>FHD_NUM_P_21</f>
        <v>2.6.2</v>
      </c>
      <c r="F57" s="1991" t="str">
        <f>FHD_P_21</f>
        <v>Расходы на амортизацию нематериальных активов</v>
      </c>
      <c r="G57" s="2219" t="s">
        <v>664</v>
      </c>
      <c r="H57" s="898"/>
      <c r="I57" s="898"/>
      <c r="J57" s="630" t="str">
        <f>FHD_NOTE_P_21</f>
        <v/>
      </c>
      <c r="K57" s="1977" t="str">
        <f>IF((LEN(E57)-LEN(SUBSTITUTE(E57,".","")))/LEN(".")=1,"p","")</f>
        <v/>
      </c>
      <c r="L57" s="1977"/>
      <c r="M57" s="1977"/>
      <c r="R57" s="1977"/>
      <c r="U57" s="885"/>
      <c r="AA57" s="1973"/>
      <c r="AB57" s="1973"/>
      <c r="AC57" s="1973"/>
      <c r="AD57" s="1973"/>
      <c r="AE57" s="1973"/>
      <c r="AF57" s="1501">
        <v>11</v>
      </c>
    </row>
    <row s="21687" customFormat="1" customHeight="1" ht="11.549999999999999">
      <c r="A58" s="1328"/>
      <c r="C58" s="1977"/>
      <c r="D58" s="1979"/>
      <c r="E58" s="887" t="str">
        <f>FHD_NUM_P_22</f>
        <v>2.7</v>
      </c>
      <c r="F58" s="1865" t="str">
        <f>FHD_P_22</f>
        <v>Расходы на аренду имущества, используемого для осуществления регулируемых видов деятельности в сфере холодного водоснабжения</v>
      </c>
      <c r="G58" s="2219" t="s">
        <v>664</v>
      </c>
      <c r="H58" s="898"/>
      <c r="I58" s="898"/>
      <c r="J58" s="630" t="str">
        <f>FHD_NOTE_P_22</f>
        <v/>
      </c>
      <c r="K58" s="1977" t="str">
        <f>IF((LEN(E58)-LEN(SUBSTITUTE(E58,".","")))/LEN(".")=1,"p","")</f>
        <v>p</v>
      </c>
      <c r="L58" s="1977"/>
      <c r="M58" s="1977"/>
      <c r="R58" s="1977"/>
      <c r="U58" s="885"/>
      <c r="AA58" s="1973"/>
      <c r="AB58" s="1973"/>
      <c r="AC58" s="1973"/>
      <c r="AD58" s="1973"/>
      <c r="AE58" s="1973"/>
      <c r="AF58" s="1501">
        <v>11</v>
      </c>
    </row>
    <row s="21687" customFormat="1" customHeight="1" ht="11.549999999999999">
      <c r="A59" s="1328"/>
      <c r="C59" s="1977"/>
      <c r="D59" s="916"/>
      <c r="E59" s="887" t="str">
        <f>FHD_NUM_P_23</f>
        <v>2.8</v>
      </c>
      <c r="F59" s="1865" t="str">
        <f>FHD_P_23</f>
        <v>Общепроизводственные расходы, в том числе:</v>
      </c>
      <c r="G59" s="2219" t="s">
        <v>664</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21687" customFormat="1" customHeight="1" ht="11.549999999999999">
      <c r="A60" s="1328"/>
      <c r="C60" s="1977"/>
      <c r="D60" s="916"/>
      <c r="E60" s="887" t="str">
        <f>FHD_NUM_P_24</f>
        <v>2.8.1</v>
      </c>
      <c r="F60" s="1991" t="str">
        <f>FHD_P_24</f>
        <v>Расходы на текущий ремонт</v>
      </c>
      <c r="G60" s="2219" t="s">
        <v>664</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21687" customFormat="1" customHeight="1" ht="11.549999999999999">
      <c r="A61" s="1328"/>
      <c r="C61" s="1977"/>
      <c r="D61" s="916"/>
      <c r="E61" s="887" t="str">
        <f>FHD_NUM_P_25</f>
        <v>2.8.2</v>
      </c>
      <c r="F61" s="1991" t="str">
        <f>FHD_P_25</f>
        <v>Расходы на капитальный ремонт</v>
      </c>
      <c r="G61" s="2219" t="s">
        <v>664</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21687" customFormat="1" customHeight="1" ht="11.549999999999999">
      <c r="A62" s="1328"/>
      <c r="C62" s="1977"/>
      <c r="D62" s="1979"/>
      <c r="E62" s="887" t="str">
        <f>FHD_NUM_P_26</f>
        <v>2.9</v>
      </c>
      <c r="F62" s="1865" t="str">
        <f>FHD_P_26</f>
        <v>Общехозяйственные расходы, в том числе:</v>
      </c>
      <c r="G62" s="2219" t="s">
        <v>664</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21687" customFormat="1" customHeight="1" ht="11.549999999999999">
      <c r="A63" s="1328"/>
      <c r="C63" s="1977"/>
      <c r="D63" s="1979"/>
      <c r="E63" s="887" t="str">
        <f>FHD_NUM_P_27</f>
        <v>2.9.1</v>
      </c>
      <c r="F63" s="1991" t="str">
        <f>FHD_P_27</f>
        <v>Расходы на текущий ремонт</v>
      </c>
      <c r="G63" s="2219" t="s">
        <v>664</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21687" customFormat="1" customHeight="1" ht="11.549999999999999">
      <c r="A64" s="1328"/>
      <c r="C64" s="1977"/>
      <c r="D64" s="1979"/>
      <c r="E64" s="887" t="str">
        <f>FHD_NUM_P_28</f>
        <v>2.9.2</v>
      </c>
      <c r="F64" s="1991" t="str">
        <f>FHD_P_28</f>
        <v>Расходы на капитальный ремонт</v>
      </c>
      <c r="G64" s="2219" t="s">
        <v>664</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21687" customFormat="1" customHeight="1" ht="11.549999999999999">
      <c r="A65" s="1328"/>
      <c r="C65" s="1977"/>
      <c r="D65" s="1979"/>
      <c r="E65" s="887" t="str">
        <f>FHD_NUM_P_29</f>
        <v>2.10</v>
      </c>
      <c r="F65" s="1865" t="str">
        <f>FHD_P_29</f>
        <v>Расходы на капитальный и текущий ремонт основных средств</v>
      </c>
      <c r="G65" s="2219" t="s">
        <v>664</v>
      </c>
      <c r="H65" s="898"/>
      <c r="I65" s="898"/>
      <c r="J65" s="63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21687" customFormat="1" customHeight="1" ht="11.549999999999999">
      <c r="A66" s="1328"/>
      <c r="C66" s="1977"/>
      <c r="D66" s="1979"/>
      <c r="E66" s="887" t="str">
        <f>FHD_NUM_P_30</f>
        <v>2.10.1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420</v>
      </c>
      <c r="H66" s="1990" t="s">
        <v>687</v>
      </c>
      <c r="I66" s="1990" t="s">
        <v>687</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21687" customFormat="1" customHeight="1" ht="23.25">
      <c r="A67" s="2712" t="s">
        <v>688</v>
      </c>
      <c r="C67" s="1977"/>
      <c r="D67" s="1979"/>
      <c r="E67" s="887" t="str">
        <f>FHD_NUM_P_31</f>
        <v>2.11</v>
      </c>
      <c r="F67" s="1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19" t="s">
        <v>664</v>
      </c>
      <c r="H67" s="898"/>
      <c r="I67" s="898"/>
      <c r="J67" s="63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77" t="str">
        <f>IF((LEN(E67)-LEN(SUBSTITUTE(E67,".","")))/LEN(".")=1,"p","")</f>
        <v>p</v>
      </c>
      <c r="L67" s="1977"/>
      <c r="M67" s="1977"/>
      <c r="R67" s="1977"/>
      <c r="U67" s="885"/>
      <c r="AA67" s="1973"/>
      <c r="AB67" s="1973"/>
      <c r="AC67" s="1973"/>
      <c r="AD67" s="1973"/>
      <c r="AE67" s="1973"/>
      <c r="AF67" s="1501">
        <v>22</v>
      </c>
    </row>
    <row s="21687" customFormat="1" customHeight="1" ht="47.25">
      <c r="A68" s="2712"/>
      <c r="C68" s="1977"/>
      <c r="D68" s="1979"/>
      <c r="E68" s="887" t="str">
        <f>FHD_NUM_P_32</f>
        <v>2.11.1</v>
      </c>
      <c r="F68" s="19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19" t="s">
        <v>420</v>
      </c>
      <c r="H68" s="1990" t="s">
        <v>687</v>
      </c>
      <c r="I68" s="1990" t="s">
        <v>687</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21687" customFormat="1" customHeight="1" ht="11.549999999999999">
      <c r="A69" s="1328"/>
      <c r="C69" s="1977"/>
      <c r="D69" s="1979"/>
      <c r="E69" s="887" t="str">
        <f>FHD_NUM_P_33</f>
        <v>2.12</v>
      </c>
      <c r="F69" s="18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20" t="s">
        <v>664</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77" t="str">
        <f>IF((LEN(E69)-LEN(SUBSTITUTE(E69,".","")))/LEN(".")=1,"p","")</f>
        <v>p</v>
      </c>
      <c r="L69" s="1977"/>
      <c r="M69" s="1977"/>
      <c r="R69" s="1977"/>
      <c r="U69" s="885"/>
      <c r="AA69" s="1973"/>
      <c r="AB69" s="1973"/>
      <c r="AC69" s="1973"/>
      <c r="AD69" s="1973"/>
      <c r="AE69" s="1973"/>
      <c r="AF69" s="1501">
        <v>11</v>
      </c>
    </row>
    <row s="21688" customFormat="1" customHeight="1" ht="1.05">
      <c r="A70" s="1508"/>
      <c r="D70" s="889"/>
      <c r="E70" s="1354" t="str">
        <f>E69&amp;".0"</f>
        <v>2.12.0</v>
      </c>
      <c r="F70" s="1332"/>
      <c r="G70" s="1354"/>
      <c r="H70" s="1333"/>
      <c r="I70" s="1333"/>
      <c r="J70" s="1334"/>
      <c r="K70" s="1977" t="str">
        <f>IF((LEN(E70)-LEN(SUBSTITUTE(E70,".","")))/LEN(".")=1,"p","")</f>
        <v/>
      </c>
      <c r="AF70" s="1977">
        <v>1</v>
      </c>
    </row>
    <row s="21687" customFormat="1" customHeight="1" ht="14.699999999999998">
      <c r="A71" s="1328"/>
      <c r="C71" s="1977"/>
      <c r="D71" s="1974"/>
      <c r="E71" s="911"/>
      <c r="F71" s="912" t="s">
        <v>689</v>
      </c>
      <c r="G71" s="913"/>
      <c r="H71" s="914"/>
      <c r="I71" s="914"/>
      <c r="J71" s="642"/>
      <c r="K71" s="1977"/>
      <c r="L71" s="1977"/>
      <c r="M71" s="1977"/>
      <c r="R71" s="1977"/>
      <c r="U71" s="885"/>
      <c r="AA71" s="1973"/>
      <c r="AB71" s="1973"/>
      <c r="AC71" s="1973"/>
      <c r="AD71" s="1973"/>
      <c r="AE71" s="1973"/>
      <c r="AF71" s="1501">
        <v>14</v>
      </c>
    </row>
    <row s="21687" customFormat="1" customHeight="1" ht="18.75" hidden="1">
      <c r="A72" s="1330" t="s">
        <v>690</v>
      </c>
      <c r="C72" s="1977"/>
      <c r="D72" s="1979"/>
      <c r="E72" s="887" t="str">
        <f>FHD_NUM_P_34</f>
        <v/>
      </c>
      <c r="F72" s="2221" t="str">
        <f>FHD_P_34</f>
        <v/>
      </c>
      <c r="G72" s="2219" t="s">
        <v>664</v>
      </c>
      <c r="H72" s="898"/>
      <c r="I72" s="898"/>
      <c r="J72" s="630" t="str">
        <f>FHD_NOTE_P_34</f>
        <v/>
      </c>
      <c r="K72" s="884"/>
      <c r="L72" s="1977"/>
      <c r="M72" s="1977"/>
      <c r="R72" s="1977"/>
      <c r="U72" s="885"/>
      <c r="AA72" s="1973"/>
      <c r="AB72" s="1973"/>
      <c r="AC72" s="1973"/>
      <c r="AD72" s="1973"/>
      <c r="AE72" s="1973"/>
      <c r="AF72" s="1501">
        <v>0</v>
      </c>
    </row>
    <row s="21687" customFormat="1" customHeight="1" ht="19.95">
      <c r="A73" s="1328"/>
      <c r="C73" s="1977"/>
      <c r="D73" s="916"/>
      <c r="E73" s="887" t="str">
        <f>FHD_NUM_P_35</f>
        <v>3</v>
      </c>
      <c r="F73" s="2221" t="str">
        <f>FHD_P_35</f>
        <v>Чистая прибыль, полученная от регулируемого вида деятельности в сфере холодного водоснабжения, в том числе:</v>
      </c>
      <c r="G73" s="2219" t="s">
        <v>664</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21687" customFormat="1" customHeight="1" ht="19.95">
      <c r="A74" s="1328"/>
      <c r="C74" s="1977"/>
      <c r="D74" s="1979"/>
      <c r="E74" s="887" t="str">
        <f>FHD_NUM_P_36</f>
        <v>3.1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664</v>
      </c>
      <c r="H74" s="898"/>
      <c r="I74" s="898"/>
      <c r="J74" s="630" t="str">
        <f>FHD_NOTE_P_36</f>
        <v/>
      </c>
      <c r="K74" s="884"/>
      <c r="L74" s="1977"/>
      <c r="M74" s="1977"/>
      <c r="R74" s="1977"/>
      <c r="U74" s="885"/>
      <c r="AA74" s="1973"/>
      <c r="AB74" s="1973"/>
      <c r="AC74" s="1973"/>
      <c r="AD74" s="1973"/>
      <c r="AE74" s="1973"/>
      <c r="AF74" s="1501">
        <v>19</v>
      </c>
    </row>
    <row s="21687" customFormat="1" customHeight="1" ht="19.95">
      <c r="A75" s="1328"/>
      <c r="C75" s="1977"/>
      <c r="D75" s="1979"/>
      <c r="E75" s="887" t="str">
        <f>FHD_NUM_P_37</f>
        <v>4</v>
      </c>
      <c r="F75" s="2221" t="str">
        <f>FHD_P_37</f>
        <v>Изменение стоимости основных фондов, в том числе:</v>
      </c>
      <c r="G75" s="2219" t="s">
        <v>664</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21687" customFormat="1" customHeight="1" ht="19.95">
      <c r="A76" s="1328"/>
      <c r="C76" s="1977"/>
      <c r="D76" s="1979"/>
      <c r="E76" s="887" t="str">
        <f>FHD_NUM_P_38</f>
        <v>4.1</v>
      </c>
      <c r="F76" s="1865" t="str">
        <f>FHD_P_38</f>
        <v>Изменение стоимости основных фондов за счет их ввода в эксплуатацию (вывода из эксплуатации)</v>
      </c>
      <c r="G76" s="2219" t="s">
        <v>664</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21687" customFormat="1" customHeight="1" ht="19.95">
      <c r="A77" s="1328"/>
      <c r="C77" s="1977"/>
      <c r="D77" s="1979"/>
      <c r="E77" s="887" t="str">
        <f>FHD_NUM_P_39</f>
        <v>4.1.1</v>
      </c>
      <c r="F77" s="1991" t="str">
        <f>FHD_P_39</f>
        <v>Изменение стоимости основных фондов за счет их ввода в эксплуатацию</v>
      </c>
      <c r="G77" s="2413" t="s">
        <v>664</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21687" customFormat="1" customHeight="1" ht="19.95">
      <c r="A78" s="1328"/>
      <c r="C78" s="1977"/>
      <c r="D78" s="1979"/>
      <c r="E78" s="887" t="str">
        <f>FHD_NUM_P_40</f>
        <v>4.1.2</v>
      </c>
      <c r="F78" s="2417" t="str">
        <f>FHD_P_40</f>
        <v>Изменение стоимости основных фондов за счет их вывода в эксплуатацию</v>
      </c>
      <c r="G78" s="2412" t="s">
        <v>664</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21687" customFormat="1" customHeight="1" ht="19.95">
      <c r="A79" s="1328"/>
      <c r="C79" s="1977"/>
      <c r="D79" s="1979"/>
      <c r="E79" s="887" t="str">
        <f>FHD_NUM_P_41</f>
        <v>4.2</v>
      </c>
      <c r="F79" s="2416" t="str">
        <f>FHD_P_41</f>
        <v>Изменение стоимости основных фондов за счет их переоценки</v>
      </c>
      <c r="G79" s="2412" t="s">
        <v>664</v>
      </c>
      <c r="H79" s="1317"/>
      <c r="I79" s="898"/>
      <c r="J79" s="630" t="str">
        <f>FHD_NOTE_P_41</f>
        <v/>
      </c>
      <c r="K79" s="884"/>
      <c r="L79" s="1977"/>
      <c r="M79" s="1977"/>
      <c r="R79" s="1977"/>
      <c r="U79" s="885"/>
      <c r="AA79" s="1973"/>
      <c r="AB79" s="1973"/>
      <c r="AC79" s="1973"/>
      <c r="AD79" s="1973"/>
      <c r="AE79" s="1973"/>
      <c r="AF79" s="1501">
        <v>19</v>
      </c>
    </row>
    <row s="21687" customFormat="1" customHeight="1" ht="19.95">
      <c r="A80" s="1330" t="s">
        <v>691</v>
      </c>
      <c r="C80" s="1977"/>
      <c r="D80" s="1979"/>
      <c r="E80" s="887" t="str">
        <f>FHD_NUM_P_42</f>
        <v>5</v>
      </c>
      <c r="F80" s="2414" t="str">
        <f>FHD_P_42</f>
        <v>Валовая прибыль (убытки) от продажи товаров и услуг по регулируемым видам деятельности в сфере холодного водоснабжения</v>
      </c>
      <c r="G80" s="2412" t="s">
        <v>664</v>
      </c>
      <c r="H80" s="1317"/>
      <c r="I80" s="898"/>
      <c r="J80" s="630" t="str">
        <f>FHD_NOTE_P_42</f>
        <v/>
      </c>
      <c r="K80" s="884"/>
      <c r="L80" s="1977"/>
      <c r="M80" s="1977"/>
      <c r="R80" s="1977"/>
      <c r="U80" s="885"/>
      <c r="AA80" s="1973"/>
      <c r="AB80" s="1973"/>
      <c r="AC80" s="1973"/>
      <c r="AD80" s="1973"/>
      <c r="AE80" s="1973"/>
      <c r="AF80" s="1501">
        <v>19</v>
      </c>
    </row>
    <row s="21687"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420</v>
      </c>
      <c r="H81" s="1396"/>
      <c r="I81" s="1159"/>
      <c r="J81" s="63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84"/>
      <c r="L81" s="1977"/>
      <c r="M81" s="1977"/>
      <c r="R81" s="1977"/>
      <c r="U81" s="885"/>
      <c r="AA81" s="1973"/>
      <c r="AB81" s="1973"/>
      <c r="AC81" s="1973"/>
      <c r="AD81" s="1973"/>
      <c r="AE81" s="1973"/>
      <c r="AF81" s="1501">
        <v>19</v>
      </c>
    </row>
    <row s="21687" customFormat="1" customHeight="1" ht="18.75">
      <c r="A82" s="2712" t="s">
        <v>692</v>
      </c>
      <c r="C82" s="1076"/>
      <c r="D82" s="1074"/>
      <c r="E82" s="887" t="str">
        <f>FHD_NUM_P_44</f>
        <v>7</v>
      </c>
      <c r="F82" s="2221" t="str">
        <f>FHD_P_44</f>
        <v>Объём поднятой воды</v>
      </c>
      <c r="G82" s="2222" t="s">
        <v>693</v>
      </c>
      <c r="H82" s="1318"/>
      <c r="I82" s="918"/>
      <c r="J82" s="630" t="str">
        <f>FHD_NOTE_P_44</f>
        <v/>
      </c>
      <c r="K82" s="1075"/>
      <c r="L82" s="1076"/>
      <c r="M82" s="1076"/>
      <c r="R82" s="1076"/>
      <c r="U82" s="1077"/>
      <c r="AA82" s="1078"/>
      <c r="AB82" s="1078"/>
      <c r="AC82" s="1078"/>
      <c r="AD82" s="1078"/>
      <c r="AE82" s="1078"/>
      <c r="AF82" s="1251">
        <v>0</v>
      </c>
    </row>
    <row s="21687" customFormat="1" customHeight="1" ht="18.75">
      <c r="A83" s="2712"/>
      <c r="C83" s="1076"/>
      <c r="D83" s="1074"/>
      <c r="E83" s="887" t="str">
        <f>FHD_NUM_P_45</f>
        <v>8</v>
      </c>
      <c r="F83" s="2221" t="str">
        <f>FHD_P_45</f>
        <v>Объём покупной воды</v>
      </c>
      <c r="G83" s="2222" t="s">
        <v>693</v>
      </c>
      <c r="H83" s="1318"/>
      <c r="I83" s="918"/>
      <c r="J83" s="630" t="str">
        <f>FHD_NOTE_P_45</f>
        <v/>
      </c>
      <c r="K83" s="1075"/>
      <c r="L83" s="1076"/>
      <c r="M83" s="1076"/>
      <c r="R83" s="1076"/>
      <c r="U83" s="1077"/>
      <c r="AA83" s="1078"/>
      <c r="AB83" s="1078"/>
      <c r="AC83" s="1078"/>
      <c r="AD83" s="1078"/>
      <c r="AE83" s="1078"/>
      <c r="AF83" s="1251">
        <v>0</v>
      </c>
    </row>
    <row s="21687" customFormat="1" customHeight="1" ht="18.75">
      <c r="A84" s="2712"/>
      <c r="C84" s="1076"/>
      <c r="D84" s="1079"/>
      <c r="E84" s="887" t="str">
        <f>FHD_NUM_P_46</f>
        <v>9</v>
      </c>
      <c r="F84" s="2221" t="str">
        <f>FHD_P_46</f>
        <v>Объём воды, пропущенной через очистные сооружения</v>
      </c>
      <c r="G84" s="2222" t="s">
        <v>693</v>
      </c>
      <c r="H84" s="1318"/>
      <c r="I84" s="918"/>
      <c r="J84" s="630" t="str">
        <f>FHD_NOTE_P_46</f>
        <v/>
      </c>
      <c r="K84" s="1075"/>
      <c r="L84" s="1076"/>
      <c r="M84" s="1076"/>
      <c r="R84" s="1076"/>
      <c r="U84" s="1077"/>
      <c r="AA84" s="1078"/>
      <c r="AB84" s="1078"/>
      <c r="AC84" s="1078"/>
      <c r="AD84" s="1078"/>
      <c r="AE84" s="1078"/>
      <c r="AF84" s="1251">
        <v>0</v>
      </c>
    </row>
    <row s="21687" customFormat="1" customHeight="1" ht="18.75">
      <c r="A85" s="2712"/>
      <c r="C85" s="1076"/>
      <c r="D85" s="1074"/>
      <c r="E85" s="887" t="str">
        <f>FHD_NUM_P_47</f>
        <v>10</v>
      </c>
      <c r="F85" s="2221" t="str">
        <f>FHD_P_47</f>
        <v>Объём отпущенной потребителям воды, в том числе:</v>
      </c>
      <c r="G85" s="2222" t="s">
        <v>693</v>
      </c>
      <c r="H85" s="1318"/>
      <c r="I85" s="918"/>
      <c r="J85" s="630" t="str">
        <f>FHD_NOTE_P_47</f>
        <v>Указывается общий объем отпущенной потребителям воды.</v>
      </c>
      <c r="K85" s="1075"/>
      <c r="L85" s="1076"/>
      <c r="M85" s="1076"/>
      <c r="R85" s="1076"/>
      <c r="U85" s="1077"/>
      <c r="AA85" s="1078"/>
      <c r="AB85" s="1078"/>
      <c r="AC85" s="1078"/>
      <c r="AD85" s="1078"/>
      <c r="AE85" s="1078"/>
      <c r="AF85" s="1251">
        <v>0</v>
      </c>
    </row>
    <row s="21605" customFormat="1" customHeight="1" ht="18.75">
      <c r="A86" s="2712"/>
      <c r="B86" s="1251"/>
      <c r="C86" s="1076"/>
      <c r="D86" s="1074"/>
      <c r="E86" s="887" t="str">
        <f>FHD_NUM_P_48</f>
        <v>10.1</v>
      </c>
      <c r="F86" s="2221" t="str">
        <f>FHD_P_48</f>
        <v>Объём отпущенной потребителям воды, определенный по приборам учета</v>
      </c>
      <c r="G86" s="2222" t="s">
        <v>693</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21605" customFormat="1" customHeight="1" ht="18.75">
      <c r="A87" s="2712"/>
      <c r="B87" s="1251"/>
      <c r="C87" s="1076"/>
      <c r="D87" s="1074"/>
      <c r="E87" s="887" t="str">
        <f>FHD_NUM_P_49</f>
        <v>10.2</v>
      </c>
      <c r="F87" s="2221" t="str">
        <f>FHD_P_49</f>
        <v>Объём отпущенной потребителям воды, определенный расчетным способом</v>
      </c>
      <c r="G87" s="2222" t="s">
        <v>693</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21605" customFormat="1" customHeight="1" ht="18.75">
      <c r="A88" s="2712"/>
      <c r="B88" s="1251"/>
      <c r="C88" s="1076"/>
      <c r="D88" s="1074"/>
      <c r="E88" s="887" t="str">
        <f>FHD_NUM_P_50</f>
        <v>10.2.1</v>
      </c>
      <c r="F88" s="2221" t="str">
        <f>FHD_P_50</f>
        <v>Объём отпущенной потребителям воды, определенный по нормативам потребления коммунальных услуг</v>
      </c>
      <c r="G88" s="2222" t="s">
        <v>693</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21605" customFormat="1" customHeight="1" ht="18.75">
      <c r="A89" s="2712"/>
      <c r="B89" s="1251"/>
      <c r="C89" s="1076"/>
      <c r="D89" s="1074"/>
      <c r="E89" s="887" t="str">
        <f>FHD_NUM_P_51</f>
        <v>10.2.2</v>
      </c>
      <c r="F89" s="2221" t="str">
        <f>FHD_P_51</f>
        <v>Объём отпущенной потребителям воды, определенный по нормативам потребления коммунальных ресурсов </v>
      </c>
      <c r="G89" s="2222" t="s">
        <v>693</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21605" customFormat="1" customHeight="1" ht="18.75">
      <c r="A90" s="2712"/>
      <c r="B90" s="1251"/>
      <c r="C90" s="1076"/>
      <c r="D90" s="1074"/>
      <c r="E90" s="887" t="str">
        <f>FHD_NUM_P_52</f>
        <v>11</v>
      </c>
      <c r="F90" s="2221" t="str">
        <f>FHD_P_52</f>
        <v>Потери воды в сетях</v>
      </c>
      <c r="G90" s="2222" t="s">
        <v>670</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21687" customFormat="1" customHeight="1" ht="18.75" hidden="1">
      <c r="A91" s="2714" t="s">
        <v>694</v>
      </c>
      <c r="C91" s="1076"/>
      <c r="D91" s="1074"/>
      <c r="E91" s="887" t="str">
        <f>FHD_NUM_P_53</f>
        <v/>
      </c>
      <c r="F91" s="2221" t="str">
        <f>FHD_P_53</f>
        <v/>
      </c>
      <c r="G91" s="2222" t="s">
        <v>693</v>
      </c>
      <c r="H91" s="1318"/>
      <c r="I91" s="918"/>
      <c r="J91" s="630" t="str">
        <f>FHD_NOTE_P_53</f>
        <v/>
      </c>
      <c r="K91" s="1075"/>
      <c r="L91" s="1076"/>
      <c r="M91" s="1076"/>
      <c r="R91" s="1076"/>
      <c r="U91" s="1077"/>
      <c r="AA91" s="1078"/>
      <c r="AB91" s="1078"/>
      <c r="AC91" s="1078"/>
      <c r="AD91" s="1078"/>
      <c r="AE91" s="1078"/>
      <c r="AF91" s="1251">
        <v>0</v>
      </c>
    </row>
    <row s="21687" customFormat="1" customHeight="1" ht="18.75" hidden="1">
      <c r="A92" s="2714"/>
      <c r="C92" s="1076"/>
      <c r="D92" s="1074"/>
      <c r="E92" s="887" t="str">
        <f>FHD_NUM_P_54</f>
        <v/>
      </c>
      <c r="F92" s="2221" t="str">
        <f>FHD_P_54</f>
        <v/>
      </c>
      <c r="G92" s="2222" t="s">
        <v>693</v>
      </c>
      <c r="H92" s="1318"/>
      <c r="I92" s="918"/>
      <c r="J92" s="630" t="str">
        <f>FHD_NOTE_P_54</f>
        <v/>
      </c>
      <c r="K92" s="1075"/>
      <c r="L92" s="1076"/>
      <c r="M92" s="1076"/>
      <c r="R92" s="1076"/>
      <c r="U92" s="1077"/>
      <c r="AA92" s="1078"/>
      <c r="AB92" s="1078"/>
      <c r="AC92" s="1078"/>
      <c r="AD92" s="1078"/>
      <c r="AE92" s="1078"/>
      <c r="AF92" s="1251">
        <v>0</v>
      </c>
    </row>
    <row s="21687"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21687" customFormat="1" customHeight="1" ht="18.75" hidden="1">
      <c r="A94" s="2714"/>
      <c r="C94" s="1076"/>
      <c r="D94" s="1074"/>
      <c r="E94" s="887" t="str">
        <f>FHD_NUM_P_56</f>
        <v/>
      </c>
      <c r="F94" s="2221" t="str">
        <f>FHD_P_56</f>
        <v/>
      </c>
      <c r="G94" s="2222" t="s">
        <v>695</v>
      </c>
      <c r="H94" s="1318"/>
      <c r="I94" s="918"/>
      <c r="J94" s="630" t="str">
        <f>FHD_NOTE_P_56</f>
        <v/>
      </c>
      <c r="K94" s="1075"/>
      <c r="L94" s="1076"/>
      <c r="M94" s="1076"/>
      <c r="R94" s="1076"/>
      <c r="U94" s="1077"/>
      <c r="AA94" s="1078"/>
      <c r="AB94" s="1078"/>
      <c r="AC94" s="1078"/>
      <c r="AD94" s="1078"/>
      <c r="AE94" s="1078"/>
      <c r="AF94" s="1251">
        <v>0</v>
      </c>
    </row>
    <row s="21605" customFormat="1" customHeight="1" ht="18.75" hidden="1">
      <c r="A95" s="2714"/>
      <c r="B95" s="1251"/>
      <c r="C95" s="1076"/>
      <c r="D95" s="1074"/>
      <c r="E95" s="887" t="str">
        <f>FHD_NUM_P_57</f>
        <v/>
      </c>
      <c r="F95" s="2221" t="str">
        <f>FHD_P_57</f>
        <v/>
      </c>
      <c r="G95" s="2222" t="s">
        <v>670</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696</v>
      </c>
      <c r="D96" s="1979"/>
      <c r="E96" s="887" t="str">
        <f>FHD_NUM_P_58</f>
        <v/>
      </c>
      <c r="F96" s="2221" t="str">
        <f>FHD_P_58</f>
        <v/>
      </c>
      <c r="G96" s="2222" t="s">
        <v>693</v>
      </c>
      <c r="H96" s="1318"/>
      <c r="I96" s="918"/>
      <c r="J96" s="630" t="str">
        <f>FHD_NOTE_P_58</f>
        <v/>
      </c>
      <c r="K96" s="884"/>
      <c r="AF96" s="1972">
        <v>0</v>
      </c>
    </row>
    <row customHeight="1" ht="18.75" hidden="1">
      <c r="A97" s="2712"/>
      <c r="D97" s="1979"/>
      <c r="E97" s="887" t="str">
        <f>FHD_NUM_P_59</f>
        <v/>
      </c>
      <c r="F97" s="2221" t="str">
        <f>FHD_P_59</f>
        <v/>
      </c>
      <c r="G97" s="2222" t="s">
        <v>693</v>
      </c>
      <c r="H97" s="1318"/>
      <c r="I97" s="918"/>
      <c r="J97" s="630" t="str">
        <f>FHD_NOTE_P_59</f>
        <v/>
      </c>
      <c r="K97" s="884"/>
      <c r="AF97" s="1972">
        <v>0</v>
      </c>
    </row>
    <row customHeight="1" ht="18.75" hidden="1">
      <c r="A98" s="2712"/>
      <c r="D98" s="1979"/>
      <c r="E98" s="887" t="str">
        <f>FHD_NUM_P_60</f>
        <v/>
      </c>
      <c r="F98" s="2221" t="str">
        <f>FHD_P_60</f>
        <v/>
      </c>
      <c r="G98" s="2222" t="s">
        <v>693</v>
      </c>
      <c r="H98" s="1318"/>
      <c r="I98" s="918"/>
      <c r="J98" s="630" t="str">
        <f>FHD_NOTE_P_60</f>
        <v/>
      </c>
      <c r="K98" s="884"/>
      <c r="AF98" s="1972">
        <v>0</v>
      </c>
    </row>
    <row s="21687" customFormat="1" customHeight="1" ht="18.75" hidden="1">
      <c r="A99" s="2712" t="s">
        <v>697</v>
      </c>
      <c r="C99" s="1977"/>
      <c r="D99" s="1979"/>
      <c r="E99" s="887" t="str">
        <f>FHD_NUM_P_61</f>
        <v/>
      </c>
      <c r="F99" s="2221" t="str">
        <f>FHD_P_61</f>
        <v/>
      </c>
      <c r="G99" s="2219" t="s">
        <v>668</v>
      </c>
      <c r="H99" s="1320"/>
      <c r="I99" s="1083"/>
      <c r="J99" s="630" t="str">
        <f>FHD_NOTE_P_61</f>
        <v/>
      </c>
      <c r="K99" s="884"/>
      <c r="L99" s="1977"/>
      <c r="M99" s="1977"/>
      <c r="R99" s="1977"/>
      <c r="U99" s="885"/>
      <c r="AA99" s="1973"/>
      <c r="AB99" s="1973"/>
      <c r="AC99" s="1973"/>
      <c r="AD99" s="1973"/>
      <c r="AE99" s="1973"/>
      <c r="AF99" s="1501">
        <v>0</v>
      </c>
    </row>
    <row s="21688" customFormat="1" customHeight="1" ht="0.75" hidden="1">
      <c r="A100" s="2712"/>
      <c r="D100" s="889"/>
      <c r="E100" s="1354" t="str">
        <f>E99&amp;".0"</f>
        <v>.0</v>
      </c>
      <c r="F100" s="1335"/>
      <c r="G100" s="1336"/>
      <c r="H100" s="1333"/>
      <c r="I100" s="1333"/>
      <c r="J100" s="1337"/>
      <c r="AF100" s="1977">
        <v>0</v>
      </c>
    </row>
    <row customHeight="1" ht="15" hidden="1">
      <c r="A101" s="2712"/>
      <c r="D101" s="1974"/>
      <c r="E101" s="1312"/>
      <c r="F101" s="1313" t="s">
        <v>698</v>
      </c>
      <c r="G101" s="913"/>
      <c r="H101" s="914"/>
      <c r="I101" s="914"/>
      <c r="J101" s="1345" t="s">
        <v>699</v>
      </c>
      <c r="K101" s="884"/>
      <c r="AF101" s="1972">
        <v>0</v>
      </c>
    </row>
    <row s="21687" customFormat="1" customHeight="1" ht="18.75" hidden="1">
      <c r="A102" s="2712"/>
      <c r="C102" s="1977"/>
      <c r="D102" s="1979"/>
      <c r="E102" s="887" t="str">
        <f>FHD_NUM_P_62</f>
        <v/>
      </c>
      <c r="F102" s="2221" t="str">
        <f>FHD_P_62</f>
        <v/>
      </c>
      <c r="G102" s="2218" t="s">
        <v>668</v>
      </c>
      <c r="H102" s="898"/>
      <c r="I102" s="898"/>
      <c r="J102" s="630" t="str">
        <f>FHD_NOTE_P_62</f>
        <v/>
      </c>
      <c r="K102" s="884"/>
      <c r="L102" s="1977"/>
      <c r="M102" s="1977"/>
      <c r="R102" s="1977"/>
      <c r="U102" s="885"/>
      <c r="AA102" s="1973"/>
      <c r="AB102" s="1973"/>
      <c r="AC102" s="1973"/>
      <c r="AD102" s="1973"/>
      <c r="AE102" s="1973"/>
      <c r="AF102" s="1501">
        <v>0</v>
      </c>
    </row>
    <row s="21687" customFormat="1" customHeight="1" ht="18.75" hidden="1">
      <c r="A103" s="2712"/>
      <c r="C103" s="1977"/>
      <c r="D103" s="1979"/>
      <c r="E103" s="887" t="str">
        <f>FHD_NUM_P_63</f>
        <v/>
      </c>
      <c r="F103" s="2221" t="str">
        <f>FHD_P_63</f>
        <v/>
      </c>
      <c r="G103" s="2218" t="s">
        <v>695</v>
      </c>
      <c r="H103" s="918"/>
      <c r="I103" s="918"/>
      <c r="J103" s="630" t="str">
        <f>FHD_NOTE_P_63</f>
        <v/>
      </c>
      <c r="K103" s="884"/>
      <c r="L103" s="1977"/>
      <c r="M103" s="1977"/>
      <c r="R103" s="1977"/>
      <c r="U103" s="885"/>
      <c r="AA103" s="1973"/>
      <c r="AB103" s="1973"/>
      <c r="AC103" s="1973"/>
      <c r="AD103" s="1973"/>
      <c r="AE103" s="1973"/>
      <c r="AF103" s="1501">
        <v>0</v>
      </c>
    </row>
    <row s="21687" customFormat="1" customHeight="1" ht="18.75" hidden="1">
      <c r="A104" s="2712"/>
      <c r="C104" s="1977" t="s">
        <v>700</v>
      </c>
      <c r="D104" s="1979"/>
      <c r="E104" s="887" t="str">
        <f>FHD_NUM_P_64</f>
        <v/>
      </c>
      <c r="F104" s="2221" t="str">
        <f>FHD_P_64</f>
        <v/>
      </c>
      <c r="G104" s="2218" t="s">
        <v>695</v>
      </c>
      <c r="H104" s="886"/>
      <c r="I104" s="886"/>
      <c r="J104" s="630" t="str">
        <f>FHD_NOTE_P_64</f>
        <v/>
      </c>
      <c r="K104" s="884"/>
      <c r="L104" s="1977"/>
      <c r="M104" s="1977"/>
      <c r="R104" s="1977"/>
      <c r="U104" s="885"/>
      <c r="AA104" s="1973"/>
      <c r="AB104" s="1973"/>
      <c r="AC104" s="1973"/>
      <c r="AD104" s="1973"/>
      <c r="AE104" s="1973"/>
      <c r="AF104" s="1501">
        <v>0</v>
      </c>
    </row>
    <row s="21687" customFormat="1" customHeight="1" ht="18.75" hidden="1">
      <c r="A105" s="2712"/>
      <c r="C105" s="1977"/>
      <c r="D105" s="1979"/>
      <c r="E105" s="887" t="str">
        <f>FHD_NUM_P_65</f>
        <v/>
      </c>
      <c r="F105" s="2221" t="str">
        <f>FHD_P_65</f>
        <v/>
      </c>
      <c r="G105" s="2218" t="s">
        <v>695</v>
      </c>
      <c r="H105" s="918"/>
      <c r="I105" s="918"/>
      <c r="J105" s="630" t="str">
        <f>FHD_NOTE_P_65</f>
        <v/>
      </c>
      <c r="K105" s="884"/>
      <c r="L105" s="1977"/>
      <c r="M105" s="1977"/>
      <c r="R105" s="1977"/>
      <c r="U105" s="885"/>
      <c r="AA105" s="1973"/>
      <c r="AB105" s="1973"/>
      <c r="AC105" s="1973"/>
      <c r="AD105" s="1973"/>
      <c r="AE105" s="1973"/>
      <c r="AF105" s="1501">
        <v>0</v>
      </c>
    </row>
    <row s="21687" customFormat="1" customHeight="1" ht="18.75" hidden="1">
      <c r="A106" s="2712"/>
      <c r="C106" s="1977"/>
      <c r="D106" s="1979"/>
      <c r="E106" s="887" t="str">
        <f>FHD_NUM_P_66</f>
        <v/>
      </c>
      <c r="F106" s="1865" t="str">
        <f>FHD_P_66</f>
        <v/>
      </c>
      <c r="G106" s="2218" t="s">
        <v>695</v>
      </c>
      <c r="H106" s="918"/>
      <c r="I106" s="918"/>
      <c r="J106" s="630" t="str">
        <f>FHD_NOTE_P_66</f>
        <v/>
      </c>
      <c r="K106" s="884"/>
      <c r="L106" s="1977"/>
      <c r="M106" s="1977"/>
      <c r="R106" s="1977"/>
      <c r="U106" s="885"/>
      <c r="AA106" s="1973"/>
      <c r="AB106" s="1973"/>
      <c r="AC106" s="1973"/>
      <c r="AD106" s="1973"/>
      <c r="AE106" s="1973"/>
      <c r="AF106" s="1501">
        <v>0</v>
      </c>
    </row>
    <row s="21687" customFormat="1" customHeight="1" ht="18.75" hidden="1">
      <c r="A107" s="2712"/>
      <c r="C107" s="1977"/>
      <c r="D107" s="1979"/>
      <c r="E107" s="887" t="str">
        <f>FHD_NUM_P_67</f>
        <v/>
      </c>
      <c r="F107" s="1991" t="str">
        <f>FHD_P_67</f>
        <v/>
      </c>
      <c r="G107" s="2218" t="s">
        <v>695</v>
      </c>
      <c r="H107" s="918"/>
      <c r="I107" s="918"/>
      <c r="J107" s="630" t="str">
        <f>FHD_NOTE_P_67</f>
        <v/>
      </c>
      <c r="K107" s="884"/>
      <c r="L107" s="1977"/>
      <c r="M107" s="1977"/>
      <c r="R107" s="1977"/>
      <c r="U107" s="885"/>
      <c r="AA107" s="1973"/>
      <c r="AB107" s="1973"/>
      <c r="AC107" s="1973"/>
      <c r="AD107" s="1973"/>
      <c r="AE107" s="1973"/>
      <c r="AF107" s="1501">
        <v>0</v>
      </c>
    </row>
    <row s="21687" customFormat="1" customHeight="1" ht="18.75" hidden="1">
      <c r="A108" s="2712"/>
      <c r="C108" s="1977"/>
      <c r="D108" s="1979"/>
      <c r="E108" s="887" t="str">
        <f>FHD_NUM_P_68</f>
        <v/>
      </c>
      <c r="F108" s="1865" t="str">
        <f>FHD_P_68</f>
        <v/>
      </c>
      <c r="G108" s="2218" t="s">
        <v>695</v>
      </c>
      <c r="H108" s="918"/>
      <c r="I108" s="918"/>
      <c r="J108" s="630" t="str">
        <f>FHD_NOTE_P_68</f>
        <v/>
      </c>
      <c r="K108" s="884"/>
      <c r="L108" s="1977"/>
      <c r="M108" s="1977"/>
      <c r="R108" s="1977"/>
      <c r="U108" s="885"/>
      <c r="AA108" s="1973"/>
      <c r="AB108" s="1973"/>
      <c r="AC108" s="1973"/>
      <c r="AD108" s="1973"/>
      <c r="AE108" s="1973"/>
      <c r="AF108" s="1501">
        <v>0</v>
      </c>
    </row>
    <row s="21687" customFormat="1" customHeight="1" ht="18.75" hidden="1">
      <c r="A109" s="2712"/>
      <c r="C109" s="1977"/>
      <c r="D109" s="1979"/>
      <c r="E109" s="887" t="str">
        <f>FHD_NUM_P_69</f>
        <v/>
      </c>
      <c r="F109" s="1865" t="str">
        <f>FHD_P_69</f>
        <v/>
      </c>
      <c r="G109" s="2218" t="s">
        <v>695</v>
      </c>
      <c r="H109" s="918"/>
      <c r="I109" s="918"/>
      <c r="J109" s="630" t="str">
        <f>FHD_NOTE_P_69</f>
        <v/>
      </c>
      <c r="K109" s="884"/>
      <c r="L109" s="1977"/>
      <c r="M109" s="1977"/>
      <c r="R109" s="1977"/>
      <c r="U109" s="885"/>
      <c r="AA109" s="1973"/>
      <c r="AB109" s="1973"/>
      <c r="AC109" s="1973"/>
      <c r="AD109" s="1973"/>
      <c r="AE109" s="1973"/>
      <c r="AF109" s="1501">
        <v>0</v>
      </c>
    </row>
    <row s="21687" customFormat="1" customHeight="1" ht="22.5" hidden="1">
      <c r="A110" s="2712"/>
      <c r="C110" s="1977"/>
      <c r="D110" s="1979"/>
      <c r="E110" s="887" t="str">
        <f>FHD_NUM_P_70</f>
        <v/>
      </c>
      <c r="F110" s="2221" t="str">
        <f>FHD_P_70</f>
        <v/>
      </c>
      <c r="G110" s="2218" t="s">
        <v>701</v>
      </c>
      <c r="H110" s="898"/>
      <c r="I110" s="898"/>
      <c r="J110" s="630" t="str">
        <f>FHD_NOTE_P_70</f>
        <v/>
      </c>
      <c r="K110" s="884"/>
      <c r="L110" s="1977"/>
      <c r="M110" s="1977"/>
      <c r="R110" s="1977"/>
      <c r="U110" s="885"/>
      <c r="AA110" s="1973"/>
      <c r="AB110" s="1973"/>
      <c r="AC110" s="1973"/>
      <c r="AD110" s="1973"/>
      <c r="AE110" s="1973"/>
      <c r="AF110" s="1501">
        <v>0</v>
      </c>
    </row>
    <row s="21687" customFormat="1" customHeight="1" ht="22.5" hidden="1">
      <c r="A111" s="2712"/>
      <c r="C111" s="1977"/>
      <c r="D111" s="1979"/>
      <c r="E111" s="887" t="str">
        <f>FHD_NUM_P_71</f>
        <v/>
      </c>
      <c r="F111" s="2221" t="str">
        <f>FHD_P_71</f>
        <v/>
      </c>
      <c r="G111" s="2218" t="s">
        <v>701</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12</v>
      </c>
      <c r="F112" s="2221" t="str">
        <f>FHD_P_72</f>
        <v>Среднесписочная численность основного производственного персонала</v>
      </c>
      <c r="G112" s="2217" t="s">
        <v>702</v>
      </c>
      <c r="H112" s="918"/>
      <c r="I112" s="918"/>
      <c r="J112" s="630" t="str">
        <f>FHD_NOTE_P_72</f>
        <v/>
      </c>
      <c r="K112" s="884"/>
      <c r="AF112" s="1972">
        <v>19</v>
      </c>
    </row>
    <row customHeight="1" ht="18.75" hidden="1">
      <c r="A113" s="1330" t="s">
        <v>703</v>
      </c>
      <c r="D113" s="1979"/>
      <c r="E113" s="887" t="str">
        <f>FHD_NUM_P_73</f>
        <v/>
      </c>
      <c r="F113" s="2221" t="str">
        <f>FHD_P_73</f>
        <v/>
      </c>
      <c r="G113" s="1311" t="s">
        <v>702</v>
      </c>
      <c r="H113" s="1309"/>
      <c r="I113" s="1309"/>
      <c r="J113" s="630" t="str">
        <f>FHD_NOTE_P_73</f>
        <v/>
      </c>
      <c r="K113" s="884"/>
      <c r="AF113" s="1972">
        <v>0</v>
      </c>
    </row>
    <row customHeight="1" ht="33.75">
      <c r="A114" s="1330" t="s">
        <v>704</v>
      </c>
      <c r="D114" s="1979"/>
      <c r="E114" s="887" t="str">
        <f>FHD_NUM_P_74</f>
        <v>13</v>
      </c>
      <c r="F114" s="2221" t="str">
        <f>FHD_P_74</f>
        <v>Удельный расход электрической энергии на подачу воды в сеть</v>
      </c>
      <c r="G114" s="2217" t="s">
        <v>705</v>
      </c>
      <c r="H114" s="918"/>
      <c r="I114" s="918"/>
      <c r="J114" s="630" t="str">
        <f>FHD_NOTE_P_74</f>
        <v/>
      </c>
      <c r="K114" s="884"/>
      <c r="AF114" s="1972">
        <v>0</v>
      </c>
    </row>
    <row s="21605" customFormat="1" customHeight="1" ht="18.75">
      <c r="A115" s="2714" t="s">
        <v>706</v>
      </c>
      <c r="B115" s="1251"/>
      <c r="C115" s="1076"/>
      <c r="D115" s="1074"/>
      <c r="E115" s="887" t="str">
        <f>FHD_NUM_P_75</f>
        <v>14</v>
      </c>
      <c r="F115" s="2221" t="str">
        <f>FHD_P_75</f>
        <v>Расход воды на собственные нужды, в том числе:</v>
      </c>
      <c r="G115" s="2217" t="s">
        <v>670</v>
      </c>
      <c r="H115" s="898"/>
      <c r="I115" s="898"/>
      <c r="J115" s="630" t="str">
        <f>FHD_NOTE_P_75</f>
        <v>Указывается доля общего расхода воды на собственные нужны от объема отпуска воды потребителям.</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21605" customFormat="1" customHeight="1" ht="18.75">
      <c r="A116" s="2714"/>
      <c r="B116" s="1251"/>
      <c r="C116" s="1076"/>
      <c r="D116" s="1074"/>
      <c r="E116" s="887" t="str">
        <f>FHD_NUM_P_76</f>
        <v>14.1</v>
      </c>
      <c r="F116" s="2221" t="str">
        <f>FHD_P_76</f>
        <v>Расход воды на хозяйственно-бытовые нужды</v>
      </c>
      <c r="G116" s="2217" t="s">
        <v>670</v>
      </c>
      <c r="H116" s="898"/>
      <c r="I116" s="898"/>
      <c r="J116" s="630" t="str">
        <f>FHD_NOTE_P_76</f>
        <v>Указывается доля расхода воды на хозяйственно-бытовые нужны от объема отпуска воды потребителям.</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21605" customFormat="1" customHeight="1" ht="18.75">
      <c r="A117" s="2714"/>
      <c r="B117" s="1251"/>
      <c r="C117" s="1076"/>
      <c r="D117" s="1074"/>
      <c r="E117" s="887" t="str">
        <f>FHD_NUM_P_77</f>
        <v>15</v>
      </c>
      <c r="F117" s="2221" t="str">
        <f>FHD_P_77</f>
        <v>Показатель использования производственных объектов (по объему перекачки), в том числе:</v>
      </c>
      <c r="G117" s="2217" t="s">
        <v>670</v>
      </c>
      <c r="H117" s="898"/>
      <c r="I117" s="898"/>
      <c r="J117" s="63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21688" customFormat="1" customHeight="1" ht="0.75">
      <c r="A118" s="2714"/>
      <c r="D118" s="889"/>
      <c r="E118" s="1354" t="str">
        <f>E117&amp;".0"</f>
        <v>15.0</v>
      </c>
      <c r="F118" s="1338"/>
      <c r="G118" s="1992"/>
      <c r="H118" s="1333"/>
      <c r="I118" s="1333"/>
      <c r="J118" s="1337"/>
      <c r="AF118" s="1977">
        <v>0</v>
      </c>
    </row>
    <row s="21605" customFormat="1" customHeight="1" ht="15">
      <c r="A119" s="2714"/>
      <c r="B119" s="1251"/>
      <c r="C119" s="1076"/>
      <c r="D119" s="1087"/>
      <c r="E119" s="1314"/>
      <c r="F119" s="1315" t="s">
        <v>707</v>
      </c>
      <c r="G119" s="1088"/>
      <c r="H119" s="1089"/>
      <c r="I119" s="1089"/>
      <c r="J119" s="1344" t="s">
        <v>708</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hidden="1">
      <c r="A120" s="2712" t="s">
        <v>709</v>
      </c>
      <c r="D120" s="1979"/>
      <c r="E120" s="887" t="str">
        <f>FHD_NUM_P_78</f>
        <v/>
      </c>
      <c r="F120" s="2221" t="str">
        <f>FHD_P_78</f>
        <v/>
      </c>
      <c r="G120" s="2218" t="s">
        <v>672</v>
      </c>
      <c r="H120" s="918"/>
      <c r="I120" s="918"/>
      <c r="J120" s="630" t="str">
        <f>FHD_NOTE_P_78</f>
        <v/>
      </c>
      <c r="K120" s="884"/>
      <c r="AF120" s="1972">
        <v>0</v>
      </c>
    </row>
    <row s="21688" customFormat="1" customHeight="1" ht="0.75" hidden="1">
      <c r="A121" s="2712"/>
      <c r="D121" s="889"/>
      <c r="E121" s="1354" t="str">
        <f>E120&amp;".0"</f>
        <v>.0</v>
      </c>
      <c r="F121" s="1338"/>
      <c r="G121" s="1992"/>
      <c r="H121" s="1333"/>
      <c r="I121" s="1333"/>
      <c r="J121" s="1337"/>
      <c r="AF121" s="1977">
        <v>0</v>
      </c>
    </row>
    <row customHeight="1" ht="15" hidden="1">
      <c r="A122" s="2712"/>
      <c r="D122" s="1974"/>
      <c r="E122" s="911"/>
      <c r="F122" s="1509" t="s">
        <v>698</v>
      </c>
      <c r="G122" s="913"/>
      <c r="H122" s="914"/>
      <c r="I122" s="914"/>
      <c r="J122" s="1345" t="s">
        <v>710</v>
      </c>
      <c r="K122" s="884"/>
      <c r="AF122" s="1972">
        <v>0</v>
      </c>
    </row>
    <row customHeight="1" ht="22.5" hidden="1">
      <c r="A123" s="2712"/>
      <c r="D123" s="1979"/>
      <c r="E123" s="887" t="str">
        <f>FHD_NUM_P_79</f>
        <v/>
      </c>
      <c r="F123" s="2221" t="str">
        <f>FHD_P_79</f>
        <v/>
      </c>
      <c r="G123" s="2219" t="s">
        <v>674</v>
      </c>
      <c r="H123" s="918"/>
      <c r="I123" s="918"/>
      <c r="J123" s="630" t="str">
        <f>FHD_NOTE_P_79</f>
        <v/>
      </c>
      <c r="K123" s="884"/>
      <c r="AF123" s="1972">
        <v>0</v>
      </c>
    </row>
    <row s="21688" customFormat="1" customHeight="1" ht="0.75" hidden="1">
      <c r="A124" s="2712"/>
      <c r="D124" s="889"/>
      <c r="E124" s="1354" t="str">
        <f>E123&amp;".0"</f>
        <v>.0</v>
      </c>
      <c r="F124" s="1339"/>
      <c r="G124" s="1992"/>
      <c r="H124" s="1333"/>
      <c r="I124" s="1333"/>
      <c r="J124" s="1337"/>
      <c r="AF124" s="1977">
        <v>0</v>
      </c>
    </row>
    <row customHeight="1" ht="15" hidden="1">
      <c r="A125" s="2712"/>
      <c r="D125" s="1974"/>
      <c r="E125" s="911"/>
      <c r="F125" s="1509" t="s">
        <v>698</v>
      </c>
      <c r="G125" s="913"/>
      <c r="H125" s="914"/>
      <c r="I125" s="914"/>
      <c r="J125" s="1345" t="s">
        <v>711</v>
      </c>
      <c r="K125" s="884"/>
      <c r="AF125" s="1972">
        <v>0</v>
      </c>
    </row>
    <row customHeight="1" ht="22.5" hidden="1">
      <c r="A126" s="2712"/>
      <c r="D126" s="1979"/>
      <c r="E126" s="887" t="str">
        <f>FHD_NUM_P_80</f>
        <v/>
      </c>
      <c r="F126" s="2221" t="str">
        <f>FHD_P_80</f>
        <v/>
      </c>
      <c r="G126" s="2219" t="s">
        <v>712</v>
      </c>
      <c r="H126" s="898"/>
      <c r="I126" s="898"/>
      <c r="J126" s="630" t="str">
        <f>FHD_NOTE_P_80</f>
        <v/>
      </c>
      <c r="K126" s="884"/>
      <c r="AF126" s="1972">
        <v>0</v>
      </c>
    </row>
    <row customHeight="1" ht="18.75" hidden="1">
      <c r="A127" s="2712"/>
      <c r="D127" s="1979"/>
      <c r="E127" s="887" t="str">
        <f>FHD_NUM_P_81</f>
        <v/>
      </c>
      <c r="F127" s="2221" t="str">
        <f>FHD_P_81</f>
        <v/>
      </c>
      <c r="G127" s="2219" t="s">
        <v>713</v>
      </c>
      <c r="H127" s="898"/>
      <c r="I127" s="898"/>
      <c r="J127" s="630" t="str">
        <f>FHD_NOTE_P_81</f>
        <v/>
      </c>
      <c r="K127" s="884"/>
      <c r="AF127" s="1972">
        <v>0</v>
      </c>
    </row>
    <row customHeight="1" ht="18.75" hidden="1">
      <c r="A128" s="2712"/>
      <c r="C128" s="1977" t="s">
        <v>700</v>
      </c>
      <c r="D128" s="1979"/>
      <c r="E128" s="887" t="str">
        <f>FHD_NUM_P_82</f>
        <v/>
      </c>
      <c r="F128" s="2221" t="str">
        <f>FHD_P_82</f>
        <v/>
      </c>
      <c r="G128" s="2219" t="s">
        <v>420</v>
      </c>
      <c r="H128" s="742"/>
      <c r="I128" s="742"/>
      <c r="J128" s="630" t="str">
        <f>FHD_NOTE_P_82</f>
        <v/>
      </c>
      <c r="K128" s="884"/>
      <c r="AF128" s="1972">
        <v>0</v>
      </c>
    </row>
    <row customHeight="1" ht="18.75" hidden="1">
      <c r="A129" s="2712"/>
      <c r="C129" s="1977" t="s">
        <v>700</v>
      </c>
      <c r="D129" s="1979"/>
      <c r="E129" s="887" t="str">
        <f>FHD_NUM_P_83</f>
        <v/>
      </c>
      <c r="F129" s="1865" t="str">
        <f>FHD_P_83</f>
        <v/>
      </c>
      <c r="G129" s="2219" t="s">
        <v>420</v>
      </c>
      <c r="H129" s="742"/>
      <c r="I129" s="742"/>
      <c r="J129" s="630" t="str">
        <f>FHD_NOTE_P_83</f>
        <v/>
      </c>
      <c r="K129" s="884"/>
      <c r="AF129" s="1972">
        <v>0</v>
      </c>
    </row>
    <row customHeight="1" ht="18.75" hidden="1">
      <c r="A130" s="2712"/>
      <c r="C130" s="1977" t="s">
        <v>700</v>
      </c>
      <c r="D130" s="1979"/>
      <c r="E130" s="887" t="str">
        <f>FHD_NUM_P_84</f>
        <v/>
      </c>
      <c r="F130" s="1865" t="str">
        <f>FHD_P_84</f>
        <v/>
      </c>
      <c r="G130" s="2219" t="s">
        <v>420</v>
      </c>
      <c r="H130" s="742"/>
      <c r="I130" s="742"/>
      <c r="J130" s="630" t="str">
        <f>FHD_NOTE_P_84</f>
        <v/>
      </c>
      <c r="K130" s="884"/>
      <c r="AF130" s="1972">
        <v>0</v>
      </c>
    </row>
    <row customHeight="1" ht="11.549999999999999">
      <c r="D131" s="1979"/>
      <c r="AF131" s="1972">
        <v>11</v>
      </c>
    </row>
    <row customHeight="1" ht="13.5">
      <c r="D132" s="1979"/>
      <c r="E132" s="677"/>
      <c r="F132" s="710"/>
      <c r="G132" s="710"/>
      <c r="H132" s="710"/>
      <c r="I132" s="1988"/>
      <c r="J132" s="922"/>
      <c r="AF132" s="1972">
        <v>13</v>
      </c>
    </row>
    <row s="22350"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35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35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350"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35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35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35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35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35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35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35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35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35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35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35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35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35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35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35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35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35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35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35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35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35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35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35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35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35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35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35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35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35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35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35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35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35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35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35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35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35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35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35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35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35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35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35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35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35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35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35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35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35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35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35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35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35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35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35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35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35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35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35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22350"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22350"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22350"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22350"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22350"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22350"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22350"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22350"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22350"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22350"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22350"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22350"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22350"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22350"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22350"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22350"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22350"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22350"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22350"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22350"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22350"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22350"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22350"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22350"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22350"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22350"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22350"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22350"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22350"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22350"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22350"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22350"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22350"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22350"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22350"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22350"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22350"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22350"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22350"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22350"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22350"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22350"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22350"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22350"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22350"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22350"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22350"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22350"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22350"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22350"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22350"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22350"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22350"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22350"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22350"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22350"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22350"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22350"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22350"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22350"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22350"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22350"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22350"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22350"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22350"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22350"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22350"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22350"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22350"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22350"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22350"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22350"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22350"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22350"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22350"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22350"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22350"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22350"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22350"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22350"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22350"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22350"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22350"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22350"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22350"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22350"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22350"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22350"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22350"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22350"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22350"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22350"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22350"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82</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BA622-A657-D044-F1E4-B7BC6864312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6588" width="14.7109375" hidden="1" customWidth="1"/>
    <col min="2" max="2" style="21569" width="17.00390625" hidden="1" customWidth="1"/>
    <col min="3" max="3" style="21605" width="3.00390625" customWidth="1"/>
    <col min="4" max="4" style="21605" width="1.8515625" hidden="1" customWidth="1"/>
    <col min="5" max="6" style="21605" width="7.00390625" customWidth="1"/>
    <col min="7" max="7" style="21605" width="29.00390625" customWidth="1"/>
    <col min="8" max="8" style="21605" width="3.7109375" customWidth="1"/>
    <col min="9" max="9" style="21605" width="5.00390625" customWidth="1"/>
    <col min="10" max="11" style="21605" width="24.00390625" customWidth="1"/>
    <col min="12" max="12" style="21605" width="3.00390625" customWidth="1"/>
    <col min="13" max="13" style="21605" width="6.00390625" customWidth="1"/>
    <col min="14" max="14" style="21605" width="25.00390625" customWidth="1"/>
    <col min="15" max="18" style="21605" width="18.00390625" customWidth="1"/>
    <col min="19" max="19" style="21605" width="93.00390625" customWidth="1"/>
    <col min="20" max="20" style="21605" width="10.00390625" customWidth="1"/>
    <col min="21" max="21" style="21688" width="10.00390625" customWidth="1"/>
    <col min="22" max="22" style="21688" width="11.00390625" customWidth="1"/>
    <col min="23" max="27" style="21569" width="10.00390625" customWidth="1"/>
    <col min="28" max="83" style="21605" width="8.00390625" customWidth="1"/>
    <col min="84" max="84" style="21605"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78"/>
      <c r="G5" s="2578"/>
      <c r="H5" s="2578"/>
      <c r="I5" s="2578"/>
      <c r="J5" s="2578"/>
      <c r="K5" s="2578"/>
      <c r="L5" s="954"/>
      <c r="M5" s="954"/>
      <c r="CF5" s="846">
        <v>28</v>
      </c>
    </row>
    <row s="21605" customFormat="1" customHeight="1" ht="16.8">
      <c r="A6" s="951"/>
      <c r="B6" s="1100"/>
      <c r="C6" s="850"/>
      <c r="D6" s="1399"/>
      <c r="E6" s="2517" t="str">
        <f>IF(org=0,"Не определено",org)</f>
        <v>КГУП "Примтеплоэнерго"</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22350"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414</v>
      </c>
      <c r="F9" s="2443"/>
      <c r="G9" s="2443"/>
      <c r="H9" s="2443"/>
      <c r="I9" s="2443"/>
      <c r="J9" s="2443"/>
      <c r="K9" s="2443"/>
      <c r="L9" s="2443"/>
      <c r="M9" s="2443"/>
      <c r="N9" s="2443"/>
      <c r="O9" s="2443"/>
      <c r="P9" s="2443"/>
      <c r="Q9" s="2443"/>
      <c r="R9" s="2444"/>
      <c r="S9" s="2468" t="s">
        <v>415</v>
      </c>
      <c r="T9" s="675"/>
      <c r="CF9" s="846">
        <v>19</v>
      </c>
    </row>
    <row customHeight="1" ht="48.29999999999999">
      <c r="D10" s="892" t="s">
        <v>88</v>
      </c>
      <c r="E10" s="2468" t="s">
        <v>88</v>
      </c>
      <c r="F10" s="2468"/>
      <c r="G10" s="862" t="s">
        <v>416</v>
      </c>
      <c r="H10" s="2468" t="s">
        <v>88</v>
      </c>
      <c r="I10" s="2468"/>
      <c r="J10" s="862" t="s">
        <v>714</v>
      </c>
      <c r="K10" s="862" t="s">
        <v>715</v>
      </c>
      <c r="L10" s="2468" t="s">
        <v>88</v>
      </c>
      <c r="M10" s="2468"/>
      <c r="N10" s="862" t="s">
        <v>716</v>
      </c>
      <c r="O10" s="862" t="s">
        <v>717</v>
      </c>
      <c r="P10" s="862" t="s">
        <v>718</v>
      </c>
      <c r="Q10" s="862" t="s">
        <v>719</v>
      </c>
      <c r="R10" s="862" t="s">
        <v>720</v>
      </c>
      <c r="S10" s="2468"/>
      <c r="T10" s="675"/>
      <c r="CF10" s="846">
        <v>46</v>
      </c>
    </row>
    <row s="21688" customFormat="1" customHeight="1" ht="15" hidden="1">
      <c r="A11" s="1393"/>
      <c r="D11" s="1366" t="s">
        <v>145</v>
      </c>
      <c r="E11" s="1366"/>
      <c r="F11" s="1366" t="s">
        <v>103</v>
      </c>
      <c r="G11" s="1366" t="s">
        <v>90</v>
      </c>
      <c r="H11" s="1366"/>
      <c r="I11" s="1366" t="s">
        <v>91</v>
      </c>
      <c r="J11" s="1366" t="s">
        <v>116</v>
      </c>
      <c r="K11" s="1366" t="s">
        <v>92</v>
      </c>
      <c r="L11" s="1366"/>
      <c r="M11" s="1366" t="s">
        <v>93</v>
      </c>
      <c r="N11" s="1366" t="s">
        <v>129</v>
      </c>
      <c r="O11" s="1366" t="s">
        <v>134</v>
      </c>
      <c r="P11" s="1366" t="s">
        <v>138</v>
      </c>
      <c r="Q11" s="1366" t="s">
        <v>143</v>
      </c>
      <c r="R11" s="1366" t="s">
        <v>189</v>
      </c>
      <c r="S11" s="1366" t="s">
        <v>190</v>
      </c>
      <c r="U11" s="952"/>
      <c r="V11" s="952"/>
      <c r="W11" s="952"/>
      <c r="CF11" s="852">
        <v>0</v>
      </c>
    </row>
    <row s="21605" customFormat="1" customHeight="1" ht="1.05">
      <c r="A12" s="956"/>
      <c r="B12" s="703"/>
      <c r="D12" s="889"/>
      <c r="E12" s="687"/>
      <c r="F12" s="687"/>
      <c r="Q12" s="957"/>
      <c r="R12" s="958"/>
      <c r="T12" s="959"/>
      <c r="U12" s="960"/>
      <c r="V12" s="960"/>
      <c r="W12" s="961"/>
      <c r="X12" s="703"/>
      <c r="Y12" s="703"/>
      <c r="Z12" s="703"/>
      <c r="AA12" s="703"/>
      <c r="CF12" s="850">
        <v>1</v>
      </c>
    </row>
    <row s="22350" customFormat="1" customHeight="1" ht="1.05">
      <c r="A13" s="962"/>
      <c r="B13" s="907"/>
      <c r="D13" s="889" t="s">
        <v>490</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21748" customFormat="1" customHeight="1" ht="15" hidden="1">
      <c r="A14" s="964" t="s">
        <v>158</v>
      </c>
      <c r="B14" s="965"/>
      <c r="C14" s="965"/>
      <c r="D14" s="2721" t="s">
        <v>145</v>
      </c>
      <c r="E14" s="2718" t="s">
        <v>150</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721</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21748" customFormat="1" customHeight="1" ht="15" hidden="1">
      <c r="A15" s="964"/>
      <c r="B15" s="965"/>
      <c r="C15" s="965"/>
      <c r="D15" s="2722"/>
      <c r="E15" s="2718" t="s">
        <v>676</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21748" customFormat="1" customHeight="1" ht="15" hidden="1">
      <c r="A16" s="964"/>
      <c r="B16" s="965"/>
      <c r="C16" s="965"/>
      <c r="D16" s="2722"/>
      <c r="E16" s="2718" t="s">
        <v>677</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21748" customFormat="1" customHeight="1" ht="22.5" hidden="1">
      <c r="A17" s="974"/>
      <c r="B17" s="758"/>
      <c r="C17" s="753"/>
      <c r="D17" s="2722"/>
      <c r="E17" s="2717" t="s">
        <v>722</v>
      </c>
      <c r="F17" s="2717"/>
      <c r="G17" s="2717"/>
      <c r="H17" s="2717"/>
      <c r="I17" s="2717"/>
      <c r="J17" s="2717"/>
      <c r="K17" s="2717"/>
      <c r="L17" s="2717"/>
      <c r="M17" s="2717"/>
      <c r="N17" s="2717"/>
      <c r="O17" s="2717"/>
      <c r="P17" s="2717"/>
      <c r="Q17" s="899">
        <f>SUMIF(T18:T19,"i",Q18:Q19)</f>
        <v>0</v>
      </c>
      <c r="R17" s="1358"/>
      <c r="S17" s="1238" t="s">
        <v>723</v>
      </c>
      <c r="T17" s="1058" t="s">
        <v>724</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21748"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21748"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21748" customFormat="1" customHeight="1" ht="22.5" hidden="1">
      <c r="A20" s="974"/>
      <c r="B20" s="758"/>
      <c r="C20" s="753"/>
      <c r="D20" s="2722"/>
      <c r="E20" s="2717" t="s">
        <v>725</v>
      </c>
      <c r="F20" s="2717"/>
      <c r="G20" s="2717"/>
      <c r="H20" s="2717"/>
      <c r="I20" s="2717"/>
      <c r="J20" s="2717"/>
      <c r="K20" s="2717"/>
      <c r="L20" s="2717"/>
      <c r="M20" s="2717"/>
      <c r="N20" s="2717"/>
      <c r="O20" s="2717"/>
      <c r="P20" s="2717"/>
      <c r="Q20" s="899">
        <f>SUMIF(T21:T22,"i",Q21:Q22)</f>
        <v>0</v>
      </c>
      <c r="R20" s="1358"/>
      <c r="S20" s="1050" t="s">
        <v>726</v>
      </c>
      <c r="T20" s="1058" t="s">
        <v>724</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21748"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21748"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82</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D04E9-3F32-4A6C-3A7E-1E201E11F9C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6520" width="10.7109375" hidden="1" customWidth="1"/>
    <col min="6" max="6" style="21687" width="16.8515625" hidden="1" customWidth="1"/>
    <col min="7" max="7" style="21688" width="5.57421875" hidden="1" customWidth="1"/>
    <col min="8" max="8" style="21605" width="3.00390625" customWidth="1"/>
    <col min="9" max="9" style="21605" width="7.00390625" customWidth="1"/>
    <col min="10" max="10" style="21605" width="56.00390625" customWidth="1"/>
    <col min="11" max="11" style="21605" width="10.00390625" customWidth="1"/>
    <col min="12" max="12" style="21605" width="40.57421875" hidden="1" customWidth="1"/>
    <col min="13" max="13" style="21605" width="40.7109375" customWidth="1"/>
    <col min="14" max="14" style="21687" width="9.7109375" hidden="1" customWidth="1"/>
    <col min="15" max="15" style="21605" width="102.00390625" customWidth="1"/>
    <col min="16" max="16" style="21687" width="9.00390625" customWidth="1"/>
    <col min="17" max="17" style="21688" width="5.00390625" customWidth="1"/>
    <col min="18" max="18" style="21688" width="3.00390625" customWidth="1"/>
    <col min="19" max="22" style="21687" width="3.00390625" customWidth="1"/>
    <col min="23" max="23" style="21688" width="10.00390625" customWidth="1"/>
    <col min="24" max="24" style="21687" width="34.00390625" customWidth="1"/>
    <col min="25" max="25" style="21687" width="9.00390625" customWidth="1"/>
    <col min="26" max="26" style="26521" width="8.00390625" customWidth="1"/>
    <col min="27" max="31" style="21687" width="8.00390625" customWidth="1"/>
    <col min="32" max="36" style="21569" width="8.00390625" customWidth="1"/>
    <col min="37" max="37" style="21605" width="5.421875" hidden="1" customWidth="1"/>
  </cols>
  <sheetData>
    <row s="21687" customFormat="1" customHeight="1" ht="33.75" hidden="1">
      <c r="A1" s="1328"/>
      <c r="B1" s="1328"/>
      <c r="C1" s="1328"/>
      <c r="D1" s="1328"/>
      <c r="E1" s="1328"/>
      <c r="G1" s="1977"/>
      <c r="H1" s="1219"/>
      <c r="L1" s="1707">
        <v>4</v>
      </c>
      <c r="M1" s="1707">
        <v>4</v>
      </c>
      <c r="Q1" s="1977"/>
      <c r="R1" s="1977"/>
      <c r="W1" s="1977"/>
      <c r="AK1" s="1707" t="s">
        <v>14</v>
      </c>
    </row>
    <row s="21687" customFormat="1" customHeight="1" ht="78.75" hidden="1">
      <c r="A2" s="1328"/>
      <c r="B2" s="2394" t="s">
        <v>727</v>
      </c>
      <c r="C2" s="2394" t="s">
        <v>728</v>
      </c>
      <c r="D2" s="2393" t="s">
        <v>729</v>
      </c>
      <c r="E2" s="2397">
        <f>RIGHT(I2,LEN(I2)-SEARCH("#",SUBSTITUTE(I2,".","#",LEN(I2)-LEN(SUBSTITUTE(I2,".","")))))</f>
      </c>
      <c r="F2" s="2399">
        <f>J2</f>
        <v>0</v>
      </c>
      <c r="G2" s="1977"/>
      <c r="H2" s="2400"/>
      <c r="I2" s="2390"/>
      <c r="J2" s="881"/>
      <c r="K2" s="2360" t="s">
        <v>668</v>
      </c>
      <c r="L2" s="1092"/>
      <c r="M2" s="1092"/>
      <c r="N2" s="884"/>
      <c r="O2" s="1866" t="s">
        <v>669</v>
      </c>
      <c r="P2" s="884"/>
      <c r="Q2" s="1977"/>
      <c r="R2" s="1977"/>
      <c r="W2" s="1977"/>
      <c r="Z2" s="885"/>
      <c r="AF2" s="1973"/>
      <c r="AG2" s="1973"/>
      <c r="AH2" s="1973"/>
      <c r="AI2" s="1973"/>
      <c r="AJ2" s="1973"/>
      <c r="AK2" s="1707">
        <v>0</v>
      </c>
    </row>
    <row customHeight="1" ht="11.25" hidden="1">
      <c r="E3" s="2392" t="s">
        <v>730</v>
      </c>
      <c r="L3" s="1972">
        <f>0</f>
        <v>0</v>
      </c>
      <c r="M3" s="1972">
        <v>1</v>
      </c>
      <c r="AK3" s="1972">
        <v>0</v>
      </c>
    </row>
    <row s="21569"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731</v>
      </c>
      <c r="J6" s="2648"/>
      <c r="K6" s="2648"/>
      <c r="L6" s="2648"/>
      <c r="M6" s="2648"/>
      <c r="O6" s="897"/>
      <c r="AK6" s="1972">
        <v>55</v>
      </c>
    </row>
    <row customHeight="1" ht="25.2">
      <c r="I7" s="2590" t="str">
        <f>IF(org=0,"Не определено",org)</f>
        <v>КГУП "Примтеплоэнерго"</v>
      </c>
      <c r="J7" s="2590"/>
      <c r="K7" s="2590"/>
      <c r="L7" s="2590"/>
      <c r="M7" s="2590"/>
      <c r="AK7" s="1972">
        <v>24</v>
      </c>
    </row>
    <row customHeight="1" ht="11.549999999999999">
      <c r="I8" s="1476"/>
      <c r="J8" s="1476"/>
      <c r="K8" s="1476"/>
      <c r="L8" s="1476"/>
      <c r="M8" s="1476"/>
      <c r="AK8" s="1972">
        <v>11</v>
      </c>
    </row>
    <row s="21688" customFormat="1" customHeight="1" ht="30" hidden="1">
      <c r="A9" s="1508"/>
      <c r="B9" s="1508"/>
      <c r="C9" s="1508"/>
      <c r="E9" s="1508"/>
      <c r="H9" s="1983"/>
      <c r="L9" s="1230"/>
      <c r="M9" s="1230" t="s">
        <v>158</v>
      </c>
      <c r="AK9" s="1977">
        <v>1</v>
      </c>
    </row>
    <row customHeight="1" ht="11.549999999999999">
      <c r="E10" s="2391" t="s">
        <v>732</v>
      </c>
      <c r="I10" s="1052"/>
      <c r="J10" s="2708" t="s">
        <v>150</v>
      </c>
      <c r="K10" s="2709"/>
      <c r="L10" s="2370" t="str">
        <f>IF(L9="","",INDEX(DIFFERENTIATION_UNMERGE_VD,MATCH(L9,DIFFERENTIATION_ID_DIFF,0)))</f>
        <v/>
      </c>
      <c r="M10" s="2370">
        <f>IF(M9="","",INDEX(DIFFERENTIATION_UNMERGE_VD,MATCH(M9,DIFFERENTIATION_ID_DIFF,0)))</f>
        <v>0</v>
      </c>
      <c r="O10" s="2468" t="s">
        <v>415</v>
      </c>
      <c r="AK10" s="1972">
        <v>11</v>
      </c>
    </row>
    <row customHeight="1" ht="11.549999999999999">
      <c r="E11" s="2391" t="s">
        <v>733</v>
      </c>
      <c r="I11" s="1052"/>
      <c r="J11" s="2708" t="s">
        <v>676</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734</v>
      </c>
      <c r="I12" s="2003"/>
      <c r="J12" s="2708" t="s">
        <v>677</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735</v>
      </c>
      <c r="F13" s="2391" t="s">
        <v>736</v>
      </c>
      <c r="I13" s="2710" t="s">
        <v>414</v>
      </c>
      <c r="J13" s="2711"/>
      <c r="K13" s="2711"/>
      <c r="L13" s="2368"/>
      <c r="M13" s="2408"/>
      <c r="O13" s="2468"/>
      <c r="AK13" s="1972">
        <v>11</v>
      </c>
    </row>
    <row customHeight="1" ht="24">
      <c r="I14" s="2361" t="s">
        <v>88</v>
      </c>
      <c r="J14" s="2361" t="s">
        <v>416</v>
      </c>
      <c r="K14" s="2361" t="s">
        <v>678</v>
      </c>
      <c r="L14" s="2401" t="s">
        <v>417</v>
      </c>
      <c r="M14" s="2402" t="s">
        <v>417</v>
      </c>
      <c r="O14" s="2468"/>
      <c r="AK14" s="1972">
        <v>23</v>
      </c>
    </row>
    <row customHeight="1" ht="24">
      <c r="A15" s="2395"/>
      <c r="B15" s="2394" t="s">
        <v>737</v>
      </c>
      <c r="C15" s="2394" t="s">
        <v>738</v>
      </c>
      <c r="D15" s="2393" t="s">
        <v>739</v>
      </c>
      <c r="E15" s="2397" t="s">
        <v>740</v>
      </c>
      <c r="F15" s="2397" t="s">
        <v>740</v>
      </c>
      <c r="G15" s="1977" t="s">
        <v>700</v>
      </c>
      <c r="H15" s="2362"/>
      <c r="I15" s="1971">
        <v>1</v>
      </c>
      <c r="J15" s="2363" t="s">
        <v>741</v>
      </c>
      <c r="K15" s="2361" t="s">
        <v>420</v>
      </c>
      <c r="L15" s="1003"/>
      <c r="M15" s="1159"/>
      <c r="N15" s="884" t="s">
        <v>742</v>
      </c>
      <c r="O15" s="1866" t="s">
        <v>743</v>
      </c>
      <c r="P15" s="884" t="s">
        <v>742</v>
      </c>
      <c r="AK15" s="1972">
        <v>23</v>
      </c>
    </row>
    <row customHeight="1" ht="35.699999999999996">
      <c r="A16" s="2395"/>
      <c r="B16" s="2394" t="s">
        <v>744</v>
      </c>
      <c r="C16" s="2394" t="s">
        <v>745</v>
      </c>
      <c r="D16" s="2393" t="s">
        <v>729</v>
      </c>
      <c r="E16" s="2397" t="s">
        <v>740</v>
      </c>
      <c r="F16" s="2397" t="s">
        <v>740</v>
      </c>
      <c r="H16" s="2362"/>
      <c r="I16" s="1970">
        <v>2</v>
      </c>
      <c r="J16" s="2404" t="s">
        <v>746</v>
      </c>
      <c r="K16" s="2403" t="s">
        <v>668</v>
      </c>
      <c r="L16" s="2409"/>
      <c r="M16" s="2017"/>
      <c r="N16" s="884" t="s">
        <v>742</v>
      </c>
      <c r="O16" s="1866" t="s">
        <v>747</v>
      </c>
      <c r="P16" s="884" t="s">
        <v>742</v>
      </c>
      <c r="AK16" s="1972">
        <v>34</v>
      </c>
    </row>
    <row s="21688" customFormat="1" customHeight="1" ht="17.25" hidden="1">
      <c r="A17" s="1508"/>
      <c r="B17" s="1508"/>
      <c r="C17" s="1508"/>
      <c r="D17" s="1508"/>
      <c r="E17" s="1508"/>
      <c r="H17" s="1665"/>
      <c r="I17" s="1354" t="s">
        <v>748</v>
      </c>
      <c r="J17" s="1332"/>
      <c r="K17" s="1354"/>
      <c r="L17" s="1333"/>
      <c r="M17" s="1333"/>
      <c r="O17" s="1726"/>
      <c r="AK17" s="1977">
        <v>1</v>
      </c>
    </row>
    <row s="21687" customFormat="1" customHeight="1" ht="24">
      <c r="A18" s="1328"/>
      <c r="B18" s="1328"/>
      <c r="C18" s="1328"/>
      <c r="D18" s="1328"/>
      <c r="E18" s="1328"/>
      <c r="G18" s="1977"/>
      <c r="H18" s="1974"/>
      <c r="I18" s="911"/>
      <c r="J18" s="912" t="s">
        <v>698</v>
      </c>
      <c r="K18" s="913"/>
      <c r="L18" s="2411"/>
      <c r="M18" s="914"/>
      <c r="N18" s="884"/>
      <c r="O18" s="1866" t="s">
        <v>699</v>
      </c>
      <c r="P18" s="884"/>
      <c r="Q18" s="1977"/>
      <c r="R18" s="1977"/>
      <c r="W18" s="1977"/>
      <c r="Z18" s="885"/>
      <c r="AF18" s="1973"/>
      <c r="AG18" s="1973"/>
      <c r="AH18" s="1973"/>
      <c r="AI18" s="1973"/>
      <c r="AJ18" s="1973"/>
      <c r="AK18" s="1707">
        <v>23</v>
      </c>
    </row>
    <row customHeight="1" ht="19.95">
      <c r="A19" s="2395"/>
      <c r="B19" s="2394" t="s">
        <v>749</v>
      </c>
      <c r="C19" s="2394" t="s">
        <v>750</v>
      </c>
      <c r="D19" s="2393" t="s">
        <v>729</v>
      </c>
      <c r="E19" s="2397" t="s">
        <v>740</v>
      </c>
      <c r="F19" s="2397" t="s">
        <v>740</v>
      </c>
      <c r="H19" s="2362"/>
      <c r="I19" s="2005">
        <v>3</v>
      </c>
      <c r="J19" s="2363" t="s">
        <v>750</v>
      </c>
      <c r="K19" s="2359" t="s">
        <v>668</v>
      </c>
      <c r="L19" s="1068"/>
      <c r="M19" s="898"/>
      <c r="N19" s="884"/>
      <c r="O19" s="1866" t="s">
        <v>751</v>
      </c>
      <c r="P19" s="884"/>
      <c r="AK19" s="1972">
        <v>19</v>
      </c>
    </row>
    <row customHeight="1" ht="77.7">
      <c r="A20" s="2395"/>
      <c r="B20" s="2394" t="s">
        <v>752</v>
      </c>
      <c r="C20" s="2394" t="s">
        <v>753</v>
      </c>
      <c r="D20" s="2393" t="s">
        <v>729</v>
      </c>
      <c r="E20" s="2397" t="s">
        <v>740</v>
      </c>
      <c r="F20" s="2397" t="s">
        <v>740</v>
      </c>
      <c r="H20" s="2362"/>
      <c r="I20" s="2005">
        <v>4</v>
      </c>
      <c r="J20" s="2363" t="s">
        <v>754</v>
      </c>
      <c r="K20" s="2359" t="s">
        <v>695</v>
      </c>
      <c r="L20" s="1068"/>
      <c r="M20" s="898"/>
      <c r="N20" s="884"/>
      <c r="O20" s="1866"/>
      <c r="P20" s="884"/>
      <c r="AK20" s="1972">
        <v>74</v>
      </c>
    </row>
    <row customHeight="1" ht="35.699999999999996">
      <c r="A21" s="2395"/>
      <c r="B21" s="2394" t="s">
        <v>755</v>
      </c>
      <c r="C21" s="2394" t="s">
        <v>756</v>
      </c>
      <c r="D21" s="2393" t="s">
        <v>729</v>
      </c>
      <c r="E21" s="2397" t="s">
        <v>740</v>
      </c>
      <c r="F21" s="2397" t="s">
        <v>740</v>
      </c>
      <c r="H21" s="2362"/>
      <c r="I21" s="2005">
        <v>5</v>
      </c>
      <c r="J21" s="2363" t="s">
        <v>757</v>
      </c>
      <c r="K21" s="2359" t="s">
        <v>695</v>
      </c>
      <c r="L21" s="1068"/>
      <c r="M21" s="898"/>
      <c r="N21" s="884"/>
      <c r="O21" s="1866" t="s">
        <v>751</v>
      </c>
      <c r="P21" s="884"/>
      <c r="AK21" s="1972">
        <v>34</v>
      </c>
    </row>
    <row customHeight="1" ht="48.29999999999999">
      <c r="A22" s="2395"/>
      <c r="B22" s="2394" t="s">
        <v>758</v>
      </c>
      <c r="C22" s="2394" t="s">
        <v>759</v>
      </c>
      <c r="D22" s="2393" t="s">
        <v>729</v>
      </c>
      <c r="E22" s="2397" t="s">
        <v>740</v>
      </c>
      <c r="F22" s="2397" t="s">
        <v>740</v>
      </c>
      <c r="H22" s="2362"/>
      <c r="I22" s="2005">
        <v>6</v>
      </c>
      <c r="J22" s="2363" t="s">
        <v>760</v>
      </c>
      <c r="K22" s="2359" t="s">
        <v>695</v>
      </c>
      <c r="L22" s="1068"/>
      <c r="M22" s="898"/>
      <c r="N22" s="884"/>
      <c r="O22" s="1866" t="s">
        <v>761</v>
      </c>
      <c r="P22" s="884"/>
      <c r="AK22" s="1972">
        <v>46</v>
      </c>
    </row>
    <row customHeight="1" ht="19.95">
      <c r="A23" s="2395"/>
      <c r="B23" s="2394" t="s">
        <v>762</v>
      </c>
      <c r="C23" s="2394" t="s">
        <v>763</v>
      </c>
      <c r="D23" s="2393" t="s">
        <v>729</v>
      </c>
      <c r="E23" s="2397" t="s">
        <v>740</v>
      </c>
      <c r="F23" s="2397" t="s">
        <v>740</v>
      </c>
      <c r="H23" s="2362"/>
      <c r="I23" s="2005" t="s">
        <v>764</v>
      </c>
      <c r="J23" s="1865" t="s">
        <v>765</v>
      </c>
      <c r="K23" s="2359" t="s">
        <v>695</v>
      </c>
      <c r="L23" s="1068"/>
      <c r="M23" s="898"/>
      <c r="N23" s="884"/>
      <c r="O23" s="1866" t="s">
        <v>751</v>
      </c>
      <c r="P23" s="884"/>
      <c r="AK23" s="1972">
        <v>19</v>
      </c>
    </row>
    <row customHeight="1" ht="19.95">
      <c r="A24" s="2395"/>
      <c r="B24" s="2394" t="s">
        <v>766</v>
      </c>
      <c r="C24" s="2394" t="s">
        <v>767</v>
      </c>
      <c r="D24" s="2393" t="s">
        <v>729</v>
      </c>
      <c r="E24" s="2397" t="s">
        <v>740</v>
      </c>
      <c r="F24" s="2397" t="s">
        <v>740</v>
      </c>
      <c r="H24" s="2362"/>
      <c r="I24" s="2005" t="s">
        <v>768</v>
      </c>
      <c r="J24" s="1865" t="s">
        <v>769</v>
      </c>
      <c r="K24" s="2359" t="s">
        <v>695</v>
      </c>
      <c r="L24" s="1068"/>
      <c r="M24" s="898"/>
      <c r="N24" s="884"/>
      <c r="O24" s="1866"/>
      <c r="P24" s="884"/>
      <c r="AK24" s="1972">
        <v>19</v>
      </c>
    </row>
    <row customHeight="1" ht="24">
      <c r="A25" s="2395"/>
      <c r="B25" s="2394" t="s">
        <v>770</v>
      </c>
      <c r="C25" s="2394" t="s">
        <v>771</v>
      </c>
      <c r="D25" s="2393" t="s">
        <v>729</v>
      </c>
      <c r="E25" s="2397" t="s">
        <v>740</v>
      </c>
      <c r="F25" s="2397" t="s">
        <v>740</v>
      </c>
      <c r="H25" s="2362"/>
      <c r="I25" s="2005" t="s">
        <v>772</v>
      </c>
      <c r="J25" s="1865" t="s">
        <v>773</v>
      </c>
      <c r="K25" s="2359" t="s">
        <v>695</v>
      </c>
      <c r="L25" s="1068"/>
      <c r="M25" s="898"/>
      <c r="N25" s="884"/>
      <c r="O25" s="1866"/>
      <c r="P25" s="884"/>
      <c r="AK25" s="1972">
        <v>23</v>
      </c>
    </row>
    <row customHeight="1" ht="24">
      <c r="A26" s="2395"/>
      <c r="B26" s="2394" t="s">
        <v>774</v>
      </c>
      <c r="C26" s="2394" t="s">
        <v>775</v>
      </c>
      <c r="D26" s="2393" t="s">
        <v>729</v>
      </c>
      <c r="E26" s="2397" t="s">
        <v>740</v>
      </c>
      <c r="F26" s="2397" t="s">
        <v>740</v>
      </c>
      <c r="H26" s="2362"/>
      <c r="I26" s="2005">
        <v>7</v>
      </c>
      <c r="J26" s="2363" t="s">
        <v>775</v>
      </c>
      <c r="K26" s="2359" t="s">
        <v>776</v>
      </c>
      <c r="L26" s="1068"/>
      <c r="M26" s="898"/>
      <c r="N26" s="884"/>
      <c r="O26" s="1866"/>
      <c r="P26" s="884"/>
      <c r="AK26" s="1972">
        <v>23</v>
      </c>
    </row>
    <row customHeight="1" ht="24">
      <c r="A27" s="2395"/>
      <c r="B27" s="2394" t="s">
        <v>777</v>
      </c>
      <c r="C27" s="2394" t="s">
        <v>778</v>
      </c>
      <c r="D27" s="2393" t="s">
        <v>729</v>
      </c>
      <c r="E27" s="2397" t="s">
        <v>740</v>
      </c>
      <c r="F27" s="2397" t="s">
        <v>740</v>
      </c>
      <c r="H27" s="2362"/>
      <c r="I27" s="2005">
        <v>8</v>
      </c>
      <c r="J27" s="2363" t="s">
        <v>778</v>
      </c>
      <c r="K27" s="2359" t="s">
        <v>701</v>
      </c>
      <c r="L27" s="1068"/>
      <c r="M27" s="898"/>
      <c r="N27" s="884"/>
      <c r="O27" s="1866"/>
      <c r="P27" s="884"/>
      <c r="AK27" s="1972">
        <v>23</v>
      </c>
    </row>
    <row customHeight="1" ht="35.699999999999996">
      <c r="A28" s="2395"/>
      <c r="B28" s="2394" t="s">
        <v>779</v>
      </c>
      <c r="C28" s="2394" t="s">
        <v>780</v>
      </c>
      <c r="D28" s="2393" t="s">
        <v>729</v>
      </c>
      <c r="E28" s="2397" t="s">
        <v>740</v>
      </c>
      <c r="F28" s="2397" t="s">
        <v>740</v>
      </c>
      <c r="H28" s="2362"/>
      <c r="I28" s="2016">
        <v>9</v>
      </c>
      <c r="J28" s="2363" t="s">
        <v>781</v>
      </c>
      <c r="K28" s="2359" t="s">
        <v>672</v>
      </c>
      <c r="L28" s="1068"/>
      <c r="M28" s="898"/>
      <c r="N28" s="884"/>
      <c r="O28" s="1866"/>
      <c r="P28" s="884"/>
      <c r="AK28" s="1972">
        <v>34</v>
      </c>
    </row>
    <row customHeight="1" ht="35.699999999999996">
      <c r="A29" s="2395"/>
      <c r="B29" s="2394" t="s">
        <v>782</v>
      </c>
      <c r="C29" s="2394" t="s">
        <v>783</v>
      </c>
      <c r="D29" s="2393" t="s">
        <v>729</v>
      </c>
      <c r="E29" s="2397" t="s">
        <v>740</v>
      </c>
      <c r="F29" s="2397" t="s">
        <v>740</v>
      </c>
      <c r="H29" s="2362"/>
      <c r="I29" s="2016">
        <v>10</v>
      </c>
      <c r="J29" s="2363" t="s">
        <v>784</v>
      </c>
      <c r="K29" s="2359" t="s">
        <v>672</v>
      </c>
      <c r="L29" s="1068"/>
      <c r="M29" s="898"/>
      <c r="N29" s="884"/>
      <c r="O29" s="1866"/>
      <c r="P29" s="884"/>
      <c r="AK29" s="1972">
        <v>34</v>
      </c>
    </row>
    <row customHeight="1" ht="24">
      <c r="A30" s="2395"/>
      <c r="B30" s="2394" t="s">
        <v>785</v>
      </c>
      <c r="C30" s="2394" t="s">
        <v>786</v>
      </c>
      <c r="D30" s="2393" t="s">
        <v>729</v>
      </c>
      <c r="E30" s="2397" t="s">
        <v>740</v>
      </c>
      <c r="F30" s="2397" t="s">
        <v>740</v>
      </c>
      <c r="H30" s="2362"/>
      <c r="I30" s="2016">
        <v>11</v>
      </c>
      <c r="J30" s="2363" t="s">
        <v>786</v>
      </c>
      <c r="K30" s="2359" t="s">
        <v>702</v>
      </c>
      <c r="L30" s="2410"/>
      <c r="M30" s="1962"/>
      <c r="N30" s="884"/>
      <c r="O30" s="1866"/>
      <c r="P30" s="884"/>
      <c r="AK30" s="1972">
        <v>23</v>
      </c>
    </row>
    <row customHeight="1" ht="24">
      <c r="A31" s="2395"/>
      <c r="B31" s="2394" t="s">
        <v>787</v>
      </c>
      <c r="C31" s="2394" t="s">
        <v>788</v>
      </c>
      <c r="D31" s="2393" t="s">
        <v>729</v>
      </c>
      <c r="E31" s="2397" t="s">
        <v>740</v>
      </c>
      <c r="F31" s="2397" t="s">
        <v>740</v>
      </c>
      <c r="H31" s="2362"/>
      <c r="I31" s="2016">
        <v>12</v>
      </c>
      <c r="J31" s="2363" t="s">
        <v>788</v>
      </c>
      <c r="K31" s="2359" t="s">
        <v>702</v>
      </c>
      <c r="L31" s="2410"/>
      <c r="M31" s="1962"/>
      <c r="N31" s="884"/>
      <c r="O31" s="1866"/>
      <c r="P31" s="884"/>
      <c r="AK31" s="1972">
        <v>23</v>
      </c>
    </row>
    <row customHeight="1" ht="48.29999999999999">
      <c r="A32" s="2395"/>
      <c r="B32" s="2394" t="s">
        <v>789</v>
      </c>
      <c r="C32" s="2394" t="s">
        <v>790</v>
      </c>
      <c r="D32" s="2393" t="s">
        <v>729</v>
      </c>
      <c r="E32" s="2397" t="s">
        <v>740</v>
      </c>
      <c r="F32" s="2397" t="s">
        <v>740</v>
      </c>
      <c r="H32" s="2362"/>
      <c r="I32" s="2016">
        <v>13</v>
      </c>
      <c r="J32" s="2363" t="s">
        <v>791</v>
      </c>
      <c r="K32" s="2359" t="s">
        <v>712</v>
      </c>
      <c r="L32" s="1068"/>
      <c r="M32" s="898"/>
      <c r="N32" s="884"/>
      <c r="O32" s="1866" t="s">
        <v>751</v>
      </c>
      <c r="P32" s="884"/>
      <c r="AK32" s="1972">
        <v>46</v>
      </c>
    </row>
    <row s="21687" customFormat="1" customHeight="1" ht="48.29999999999999">
      <c r="A33" s="2395"/>
      <c r="B33" s="2394" t="s">
        <v>792</v>
      </c>
      <c r="C33" s="2394" t="s">
        <v>793</v>
      </c>
      <c r="D33" s="2393" t="s">
        <v>729</v>
      </c>
      <c r="E33" s="2397" t="s">
        <v>740</v>
      </c>
      <c r="F33" s="2397" t="s">
        <v>740</v>
      </c>
      <c r="G33" s="1977"/>
      <c r="H33" s="2362"/>
      <c r="I33" s="2016">
        <v>14</v>
      </c>
      <c r="J33" s="2375" t="s">
        <v>794</v>
      </c>
      <c r="K33" s="2364" t="s">
        <v>795</v>
      </c>
      <c r="L33" s="1068"/>
      <c r="M33" s="898"/>
      <c r="N33" s="884"/>
      <c r="O33" s="1866" t="s">
        <v>751</v>
      </c>
      <c r="P33" s="884"/>
      <c r="Q33" s="1977"/>
      <c r="R33" s="1977"/>
      <c r="W33" s="1977"/>
      <c r="Z33" s="885"/>
      <c r="AF33" s="1973"/>
      <c r="AG33" s="1973"/>
      <c r="AH33" s="1973"/>
      <c r="AI33" s="1973"/>
      <c r="AJ33" s="1973"/>
      <c r="AK33" s="1707">
        <v>46</v>
      </c>
    </row>
    <row customHeight="1" ht="108">
      <c r="A34" s="2395"/>
      <c r="B34" s="2394" t="s">
        <v>796</v>
      </c>
      <c r="C34" s="2394" t="s">
        <v>797</v>
      </c>
      <c r="D34" s="2393" t="s">
        <v>739</v>
      </c>
      <c r="E34" s="2397" t="s">
        <v>740</v>
      </c>
      <c r="F34" s="2397" t="s">
        <v>740</v>
      </c>
      <c r="G34" s="1977" t="s">
        <v>700</v>
      </c>
      <c r="H34" s="2362"/>
      <c r="I34" s="2373">
        <v>15</v>
      </c>
      <c r="J34" s="2374" t="s">
        <v>798</v>
      </c>
      <c r="K34" s="2359" t="s">
        <v>420</v>
      </c>
      <c r="L34" s="726"/>
      <c r="M34" s="1505"/>
      <c r="N34" s="884"/>
      <c r="O34" s="1866" t="s">
        <v>743</v>
      </c>
      <c r="P34" s="884"/>
      <c r="AK34" s="1972">
        <v>103</v>
      </c>
    </row>
    <row s="22350"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22350"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22350"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22350"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22350"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22350"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22350"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22350"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22350"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22350"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22350"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22350"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22350"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22350"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22350"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22350"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22350"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22350"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22350"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22350"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22350"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22350"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22350"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22350"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22350"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22350"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22350"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22350"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22350"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22350"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22350"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22350"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22350"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22350"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22350"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22350"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22350"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22350"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22350"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22350"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22350"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22350"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22350"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22350"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22350"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22350"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22350"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22350"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22350"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22350"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22350"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22350"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22350"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22350"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22350"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22350"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22350"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22350"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22350"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22350"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22350"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22350"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22350"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22350"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22350"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22350"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22350"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22350"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22350"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22350"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22350"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22350"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22350"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22350"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22350"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22350"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22350"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22350"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22350"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22350"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22350"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22350"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22350"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22350"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22350"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22350"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22350"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22350"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22350"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22350"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22350"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22350"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22350"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22350"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22350"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22350"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22350"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22350"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22350"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22350"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22350"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22350"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22350"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22350"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22350"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22350"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22350"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22350"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22350"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22350"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22350"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22350"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22350"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22350"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22350"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22350"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22350"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22350"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22350"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22350"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22350"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22350"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22350"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22350"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22350"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22350"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22350"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22350"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22350"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22350"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22350"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22350"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22350"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22350"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22350"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22350"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22350"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22350"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22350"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22350"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22350"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22350"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22350"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22350"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22350"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22350"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22350"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22350"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22350"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22350"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22350"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22350"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22350"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22350"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22350"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82</v>
      </c>
      <c r="B204" s="1328" t="s">
        <v>138</v>
      </c>
      <c r="C204" s="1328" t="s">
        <v>138</v>
      </c>
      <c r="D204" s="1328" t="s">
        <v>138</v>
      </c>
      <c r="E204" s="1328" t="s">
        <v>138</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179CF-F70E-03AF-A14F-7E2241B8DE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1605" width="10.57421875" hidden="1"/>
    <col min="5" max="5" style="22594" width="9.140625" hidden="1" customWidth="1"/>
    <col min="6" max="7" style="21687" width="9.140625" hidden="1" customWidth="1"/>
    <col min="8" max="8" style="22595" width="3.00390625" customWidth="1"/>
    <col min="9" max="9" style="21605" width="6.00390625" customWidth="1"/>
    <col min="10" max="10" style="21605" width="63.00390625" customWidth="1"/>
    <col min="11" max="11" style="21605" width="9.00390625" customWidth="1"/>
    <col min="12" max="12" style="21605" width="39.00390625" customWidth="1"/>
    <col min="13" max="13" style="21605" width="89.00390625" customWidth="1"/>
    <col min="14" max="14" style="21605" width="10.00390625" customWidth="1"/>
    <col min="15" max="16" style="21788" width="10.00390625" customWidth="1"/>
    <col min="17" max="22" style="21605" width="10.00390625" customWidth="1"/>
    <col min="23" max="23" style="21605" width="10.57421875" hidden="1"/>
  </cols>
  <sheetData>
    <row customHeight="1" ht="22.5" hidden="1">
      <c r="S1" s="596"/>
      <c r="T1" s="596"/>
      <c r="V1" s="596"/>
      <c r="W1" s="1972" t="s">
        <v>14</v>
      </c>
    </row>
    <row customHeight="1" ht="22.5" hidden="1">
      <c r="B2" s="2394" t="s">
        <v>799</v>
      </c>
      <c r="C2" s="2394" t="s">
        <v>800</v>
      </c>
      <c r="D2" s="2393" t="s">
        <v>739</v>
      </c>
      <c r="E2" s="2399">
        <f>I2-3</f>
        <v>-3</v>
      </c>
      <c r="F2" s="2399">
        <f>J2</f>
        <v>0</v>
      </c>
      <c r="H2" s="2071" t="s">
        <v>104</v>
      </c>
      <c r="I2" s="2365"/>
      <c r="J2" s="2023"/>
      <c r="K2" s="2359" t="s">
        <v>420</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801</v>
      </c>
      <c r="J5" s="2589"/>
      <c r="K5" s="2589"/>
      <c r="L5" s="2589"/>
      <c r="M5" s="607"/>
      <c r="W5" s="1972">
        <v>48</v>
      </c>
    </row>
    <row customHeight="1" ht="18">
      <c r="H6" s="717"/>
      <c r="I6" s="2590" t="str">
        <f>IF(org=0,"Не определено",org)</f>
        <v>КГУП "Примтеплоэнерго"</v>
      </c>
      <c r="J6" s="2590"/>
      <c r="K6" s="2590"/>
      <c r="L6" s="2590"/>
      <c r="M6" s="607"/>
      <c r="W6" s="1972">
        <v>17</v>
      </c>
    </row>
    <row customHeight="1" ht="14.699999999999998">
      <c r="H7" s="717"/>
      <c r="I7" s="798"/>
      <c r="J7" s="804"/>
      <c r="K7" s="804"/>
      <c r="L7" s="1093"/>
      <c r="M7" s="534"/>
      <c r="W7" s="1972">
        <v>14</v>
      </c>
    </row>
    <row customHeight="1" ht="14.699999999999998">
      <c r="H8" s="717"/>
      <c r="I8" s="2727" t="s">
        <v>414</v>
      </c>
      <c r="J8" s="2728"/>
      <c r="K8" s="2728"/>
      <c r="L8" s="2729"/>
      <c r="M8" s="2730" t="s">
        <v>415</v>
      </c>
      <c r="W8" s="1972">
        <v>14</v>
      </c>
    </row>
    <row customHeight="1" ht="35.699999999999996">
      <c r="E9" s="2392" t="s">
        <v>730</v>
      </c>
      <c r="F9" s="2392" t="s">
        <v>736</v>
      </c>
      <c r="H9" s="717"/>
      <c r="I9" s="2366" t="s">
        <v>88</v>
      </c>
      <c r="J9" s="2367" t="s">
        <v>416</v>
      </c>
      <c r="K9" s="2405" t="s">
        <v>678</v>
      </c>
      <c r="L9" s="2406" t="s">
        <v>417</v>
      </c>
      <c r="M9" s="2730"/>
      <c r="W9" s="1972">
        <v>34</v>
      </c>
    </row>
    <row customHeight="1" ht="35.699999999999996">
      <c r="B10" s="2394" t="s">
        <v>802</v>
      </c>
      <c r="C10" s="2394" t="s">
        <v>803</v>
      </c>
      <c r="D10" s="2393" t="s">
        <v>739</v>
      </c>
      <c r="E10" s="2397" t="s">
        <v>740</v>
      </c>
      <c r="F10" s="2397" t="s">
        <v>740</v>
      </c>
      <c r="H10" s="717"/>
      <c r="I10" s="2365" t="s">
        <v>145</v>
      </c>
      <c r="J10" s="2227" t="s">
        <v>804</v>
      </c>
      <c r="K10" s="2359" t="s">
        <v>420</v>
      </c>
      <c r="L10" s="1159"/>
      <c r="M10" s="638" t="s">
        <v>805</v>
      </c>
      <c r="W10" s="1972">
        <v>34</v>
      </c>
    </row>
    <row customHeight="1" ht="50.25">
      <c r="B11" s="2394" t="s">
        <v>806</v>
      </c>
      <c r="C11" s="2394" t="s">
        <v>807</v>
      </c>
      <c r="D11" s="2393" t="s">
        <v>739</v>
      </c>
      <c r="E11" s="2397" t="s">
        <v>740</v>
      </c>
      <c r="F11" s="2397" t="s">
        <v>740</v>
      </c>
      <c r="H11" s="717"/>
      <c r="I11" s="2365" t="s">
        <v>103</v>
      </c>
      <c r="J11" s="2227" t="s">
        <v>808</v>
      </c>
      <c r="K11" s="2359" t="s">
        <v>420</v>
      </c>
      <c r="L11" s="1159"/>
      <c r="M11" s="638" t="s">
        <v>805</v>
      </c>
      <c r="W11" s="1972">
        <v>48</v>
      </c>
    </row>
    <row customHeight="1" ht="48.29999999999999">
      <c r="B12" s="2394" t="s">
        <v>809</v>
      </c>
      <c r="C12" s="2394" t="s">
        <v>810</v>
      </c>
      <c r="D12" s="2393" t="s">
        <v>739</v>
      </c>
      <c r="E12" s="2397" t="s">
        <v>740</v>
      </c>
      <c r="F12" s="2397" t="s">
        <v>740</v>
      </c>
      <c r="H12" s="2029"/>
      <c r="I12" s="2365" t="s">
        <v>90</v>
      </c>
      <c r="J12" s="2372" t="s">
        <v>811</v>
      </c>
      <c r="K12" s="2359" t="s">
        <v>420</v>
      </c>
      <c r="L12" s="1159"/>
      <c r="M12" s="638" t="s">
        <v>812</v>
      </c>
      <c r="N12" s="1965"/>
      <c r="P12" s="1972"/>
      <c r="W12" s="1972">
        <v>46</v>
      </c>
    </row>
    <row customHeight="1" ht="14.699999999999998">
      <c r="E13" s="684"/>
      <c r="H13" s="717"/>
      <c r="I13" s="688"/>
      <c r="J13" s="992" t="s">
        <v>813</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134</v>
      </c>
      <c r="F16" s="2396" t="s">
        <v>134</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E7E06-42A9-C3F4-11B6-B19C6AC93A9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6520" width="10.7109375" hidden="1" customWidth="1"/>
    <col min="2" max="2" style="21687" width="16.8515625" hidden="1" customWidth="1"/>
    <col min="3" max="3" style="21688" width="5.57421875" hidden="1" customWidth="1"/>
    <col min="4" max="4" style="21605" width="3.00390625" customWidth="1"/>
    <col min="5" max="5" style="21605" width="7.00390625" customWidth="1"/>
    <col min="6" max="6" style="21605" width="56.00390625" customWidth="1"/>
    <col min="7" max="7" style="21605" width="10.00390625" customWidth="1"/>
    <col min="8" max="8" style="21605" width="40.7109375" hidden="1" customWidth="1"/>
    <col min="9" max="9" style="21605" width="40.00390625" customWidth="1"/>
    <col min="10" max="10" style="21605" width="102.00390625" customWidth="1"/>
    <col min="11" max="11" style="21687" width="9.00390625" customWidth="1"/>
    <col min="12" max="12" style="21688" width="5.00390625" customWidth="1"/>
    <col min="13" max="13" style="21688" width="3.00390625" customWidth="1"/>
    <col min="14" max="17" style="21687" width="3.00390625" customWidth="1"/>
    <col min="18" max="18" style="21688" width="10.00390625" customWidth="1"/>
    <col min="19" max="19" style="21687" width="34.00390625" customWidth="1"/>
    <col min="20" max="20" style="21687" width="9.00390625" customWidth="1"/>
    <col min="21" max="21" style="26521" width="8.00390625" customWidth="1"/>
    <col min="22" max="26" style="21687" width="8.00390625" customWidth="1"/>
    <col min="27" max="31" style="21569" width="8.00390625" customWidth="1"/>
    <col min="32" max="32" style="21605" width="10.421875" hidden="1" customWidth="1"/>
  </cols>
  <sheetData>
    <row s="21687" customFormat="1" customHeight="1" ht="22.5" hidden="1">
      <c r="A1" s="1328"/>
      <c r="C1" s="1977"/>
      <c r="D1" s="878"/>
      <c r="H1" s="1501">
        <v>4</v>
      </c>
      <c r="I1" s="1501">
        <v>4</v>
      </c>
      <c r="L1" s="1977"/>
      <c r="M1" s="1977"/>
      <c r="R1" s="1977"/>
      <c r="AF1" s="1501" t="s">
        <v>14</v>
      </c>
    </row>
    <row s="21687" customFormat="1" customHeight="1" ht="22.5" hidden="1">
      <c r="A2" s="1328"/>
      <c r="C2" s="1977"/>
      <c r="D2" s="879"/>
      <c r="E2" s="1978"/>
      <c r="F2" s="881"/>
      <c r="G2" s="1980" t="s">
        <v>664</v>
      </c>
      <c r="H2" s="882"/>
      <c r="I2" s="882"/>
      <c r="J2" s="883" t="s">
        <v>814</v>
      </c>
      <c r="K2" s="884"/>
      <c r="L2" s="1977"/>
      <c r="M2" s="1977"/>
      <c r="R2" s="1977"/>
      <c r="U2" s="885"/>
      <c r="AA2" s="1973"/>
      <c r="AB2" s="1973"/>
      <c r="AC2" s="1973"/>
      <c r="AD2" s="1973"/>
      <c r="AE2" s="1973"/>
      <c r="AF2" s="1501">
        <v>0</v>
      </c>
    </row>
    <row customHeight="1" ht="11.25" hidden="1">
      <c r="AF3" s="1972">
        <v>0</v>
      </c>
    </row>
    <row s="21569"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815</v>
      </c>
      <c r="F6" s="2648"/>
      <c r="G6" s="2648"/>
      <c r="H6" s="2648"/>
      <c r="I6" s="2648"/>
      <c r="J6" s="897"/>
      <c r="AF6" s="1972">
        <v>30</v>
      </c>
    </row>
    <row customHeight="1" ht="11.549999999999999">
      <c r="E7" s="2590" t="str">
        <f>IF(org=0,"Не определено",org)</f>
        <v>КГУП "Примтеплоэнерго"</v>
      </c>
      <c r="F7" s="2590"/>
      <c r="G7" s="2590"/>
      <c r="H7" s="2590"/>
      <c r="I7" s="2590"/>
      <c r="AF7" s="1972">
        <v>11</v>
      </c>
    </row>
    <row customHeight="1" ht="11.549999999999999">
      <c r="E8" s="1476"/>
      <c r="F8" s="1476"/>
      <c r="G8" s="1476"/>
      <c r="H8" s="1476"/>
      <c r="I8" s="1476"/>
      <c r="AF8" s="1972">
        <v>11</v>
      </c>
    </row>
    <row s="21688" customFormat="1" customHeight="1" ht="4.2">
      <c r="A9" s="1508"/>
      <c r="D9" s="1983"/>
      <c r="H9" s="1230"/>
      <c r="I9" s="1230" t="s">
        <v>158</v>
      </c>
      <c r="AF9" s="1977">
        <v>4</v>
      </c>
    </row>
    <row customHeight="1" ht="11.549999999999999">
      <c r="E10" s="1052"/>
      <c r="F10" s="2708" t="s">
        <v>150</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676</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677</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414</v>
      </c>
      <c r="F13" s="2711"/>
      <c r="G13" s="2711"/>
      <c r="H13" s="1892"/>
      <c r="I13" s="1892"/>
      <c r="J13" s="2468"/>
      <c r="AF13" s="1972">
        <v>11</v>
      </c>
    </row>
    <row customHeight="1" ht="24">
      <c r="E14" s="1980" t="s">
        <v>88</v>
      </c>
      <c r="F14" s="1975" t="s">
        <v>416</v>
      </c>
      <c r="G14" s="1975" t="s">
        <v>678</v>
      </c>
      <c r="H14" s="1975" t="s">
        <v>417</v>
      </c>
      <c r="I14" s="1975" t="s">
        <v>417</v>
      </c>
      <c r="J14" s="2468"/>
      <c r="AF14" s="1972">
        <v>23</v>
      </c>
    </row>
    <row customHeight="1" ht="19.95">
      <c r="D15" s="1979"/>
      <c r="E15" s="1971" t="s">
        <v>145</v>
      </c>
      <c r="F15" s="1048" t="s">
        <v>816</v>
      </c>
      <c r="G15" s="1987" t="s">
        <v>664</v>
      </c>
      <c r="H15" s="898"/>
      <c r="I15" s="898"/>
      <c r="J15" s="630" t="s">
        <v>817</v>
      </c>
      <c r="K15" s="884" t="s">
        <v>742</v>
      </c>
      <c r="AF15" s="1972">
        <v>19</v>
      </c>
    </row>
    <row customHeight="1" ht="35.699999999999996">
      <c r="D16" s="1979"/>
      <c r="E16" s="1971" t="s">
        <v>103</v>
      </c>
      <c r="F16" s="1048" t="s">
        <v>818</v>
      </c>
      <c r="G16" s="1987" t="s">
        <v>664</v>
      </c>
      <c r="H16" s="899">
        <f>SUM(H17,H20:H32)</f>
        <v>0</v>
      </c>
      <c r="I16" s="899">
        <f>SUM(I17,I20,I23,I26,I29:I32)</f>
        <v>0</v>
      </c>
      <c r="J16" s="630" t="s">
        <v>819</v>
      </c>
      <c r="K16" s="884" t="s">
        <v>742</v>
      </c>
      <c r="AF16" s="1972">
        <v>34</v>
      </c>
    </row>
    <row customHeight="1" ht="19.95">
      <c r="D17" s="1979"/>
      <c r="E17" s="2005" t="s">
        <v>820</v>
      </c>
      <c r="F17" s="1295" t="s">
        <v>821</v>
      </c>
      <c r="G17" s="1984" t="s">
        <v>664</v>
      </c>
      <c r="H17" s="898"/>
      <c r="I17" s="898"/>
      <c r="J17" s="630" t="s">
        <v>822</v>
      </c>
      <c r="K17" s="884"/>
      <c r="AF17" s="1972">
        <v>19</v>
      </c>
    </row>
    <row customHeight="1" ht="24">
      <c r="D18" s="1979"/>
      <c r="E18" s="2005" t="s">
        <v>823</v>
      </c>
      <c r="F18" s="1991" t="s">
        <v>824</v>
      </c>
      <c r="G18" s="1984" t="s">
        <v>664</v>
      </c>
      <c r="H18" s="898"/>
      <c r="I18" s="898"/>
      <c r="J18" s="630" t="s">
        <v>825</v>
      </c>
      <c r="K18" s="884"/>
      <c r="AF18" s="1972">
        <v>23</v>
      </c>
    </row>
    <row customHeight="1" ht="35.699999999999996">
      <c r="D19" s="1979"/>
      <c r="E19" s="2005" t="s">
        <v>826</v>
      </c>
      <c r="F19" s="1991" t="s">
        <v>827</v>
      </c>
      <c r="G19" s="1984" t="s">
        <v>664</v>
      </c>
      <c r="H19" s="898"/>
      <c r="I19" s="898"/>
      <c r="J19" s="630"/>
      <c r="K19" s="884"/>
      <c r="AF19" s="1972">
        <v>34</v>
      </c>
    </row>
    <row customHeight="1" ht="19.95">
      <c r="D20" s="1979"/>
      <c r="E20" s="2005" t="s">
        <v>421</v>
      </c>
      <c r="F20" s="1295" t="s">
        <v>828</v>
      </c>
      <c r="G20" s="1984" t="s">
        <v>664</v>
      </c>
      <c r="H20" s="898"/>
      <c r="I20" s="898"/>
      <c r="J20" s="630" t="s">
        <v>829</v>
      </c>
      <c r="K20" s="884"/>
      <c r="AF20" s="1972">
        <v>19</v>
      </c>
    </row>
    <row customHeight="1" ht="19.95">
      <c r="D21" s="1979"/>
      <c r="E21" s="2005" t="s">
        <v>830</v>
      </c>
      <c r="F21" s="1991" t="s">
        <v>831</v>
      </c>
      <c r="G21" s="1984" t="s">
        <v>664</v>
      </c>
      <c r="H21" s="898"/>
      <c r="I21" s="898"/>
      <c r="J21" s="630"/>
      <c r="K21" s="884"/>
      <c r="AF21" s="1972">
        <v>19</v>
      </c>
    </row>
    <row customHeight="1" ht="19.95">
      <c r="D22" s="1979"/>
      <c r="E22" s="2005" t="s">
        <v>832</v>
      </c>
      <c r="F22" s="1991" t="s">
        <v>833</v>
      </c>
      <c r="G22" s="1984" t="s">
        <v>664</v>
      </c>
      <c r="H22" s="898"/>
      <c r="I22" s="898"/>
      <c r="J22" s="630"/>
      <c r="K22" s="884"/>
      <c r="AF22" s="1972">
        <v>19</v>
      </c>
    </row>
    <row customHeight="1" ht="24">
      <c r="D23" s="1979"/>
      <c r="E23" s="2005" t="s">
        <v>424</v>
      </c>
      <c r="F23" s="1295" t="s">
        <v>834</v>
      </c>
      <c r="G23" s="1984" t="s">
        <v>664</v>
      </c>
      <c r="H23" s="898"/>
      <c r="I23" s="898"/>
      <c r="J23" s="630" t="s">
        <v>835</v>
      </c>
      <c r="K23" s="884"/>
      <c r="AF23" s="1972">
        <v>23</v>
      </c>
    </row>
    <row customHeight="1" ht="19.95">
      <c r="D24" s="1979"/>
      <c r="E24" s="2005" t="s">
        <v>836</v>
      </c>
      <c r="F24" s="1991" t="s">
        <v>837</v>
      </c>
      <c r="G24" s="1984" t="s">
        <v>664</v>
      </c>
      <c r="H24" s="898"/>
      <c r="I24" s="898"/>
      <c r="J24" s="630"/>
      <c r="K24" s="884"/>
      <c r="AF24" s="1972">
        <v>19</v>
      </c>
    </row>
    <row customHeight="1" ht="35.699999999999996">
      <c r="D25" s="1979"/>
      <c r="E25" s="2005" t="s">
        <v>838</v>
      </c>
      <c r="F25" s="1991" t="s">
        <v>839</v>
      </c>
      <c r="G25" s="1984" t="s">
        <v>664</v>
      </c>
      <c r="H25" s="898"/>
      <c r="I25" s="898"/>
      <c r="J25" s="630"/>
      <c r="K25" s="884"/>
      <c r="AF25" s="1972">
        <v>34</v>
      </c>
    </row>
    <row customHeight="1" ht="24">
      <c r="D26" s="1979"/>
      <c r="E26" s="2005" t="s">
        <v>840</v>
      </c>
      <c r="F26" s="1295" t="s">
        <v>841</v>
      </c>
      <c r="G26" s="1984" t="s">
        <v>664</v>
      </c>
      <c r="H26" s="898"/>
      <c r="I26" s="898"/>
      <c r="J26" s="630" t="s">
        <v>842</v>
      </c>
      <c r="K26" s="884"/>
      <c r="AF26" s="1972">
        <v>23</v>
      </c>
    </row>
    <row customHeight="1" ht="19.95">
      <c r="D27" s="1979"/>
      <c r="E27" s="2016" t="s">
        <v>843</v>
      </c>
      <c r="F27" s="1991" t="s">
        <v>844</v>
      </c>
      <c r="G27" s="1995" t="s">
        <v>664</v>
      </c>
      <c r="H27" s="2017"/>
      <c r="I27" s="2017"/>
      <c r="J27" s="630"/>
      <c r="K27" s="884"/>
      <c r="AF27" s="1972">
        <v>19</v>
      </c>
    </row>
    <row customHeight="1" ht="19.95">
      <c r="D28" s="1979"/>
      <c r="E28" s="2016" t="s">
        <v>845</v>
      </c>
      <c r="F28" s="1991" t="s">
        <v>846</v>
      </c>
      <c r="G28" s="1995" t="s">
        <v>664</v>
      </c>
      <c r="H28" s="2017"/>
      <c r="I28" s="2017"/>
      <c r="J28" s="630"/>
      <c r="K28" s="884"/>
      <c r="AF28" s="1972">
        <v>19</v>
      </c>
    </row>
    <row customHeight="1" ht="19.95">
      <c r="D29" s="1979"/>
      <c r="E29" s="2016" t="s">
        <v>847</v>
      </c>
      <c r="F29" s="1295" t="s">
        <v>848</v>
      </c>
      <c r="G29" s="1995" t="s">
        <v>664</v>
      </c>
      <c r="H29" s="2017"/>
      <c r="I29" s="2017"/>
      <c r="J29" s="630"/>
      <c r="K29" s="884"/>
      <c r="AF29" s="1972">
        <v>19</v>
      </c>
    </row>
    <row customHeight="1" ht="19.95">
      <c r="D30" s="1979"/>
      <c r="E30" s="2016" t="s">
        <v>849</v>
      </c>
      <c r="F30" s="1295" t="s">
        <v>850</v>
      </c>
      <c r="G30" s="1995" t="s">
        <v>664</v>
      </c>
      <c r="H30" s="2017"/>
      <c r="I30" s="2017"/>
      <c r="J30" s="630"/>
      <c r="K30" s="884"/>
      <c r="AF30" s="1972">
        <v>19</v>
      </c>
    </row>
    <row customHeight="1" ht="19.95">
      <c r="D31" s="1979"/>
      <c r="E31" s="2016" t="s">
        <v>851</v>
      </c>
      <c r="F31" s="1295" t="s">
        <v>852</v>
      </c>
      <c r="G31" s="1995" t="s">
        <v>664</v>
      </c>
      <c r="H31" s="2017"/>
      <c r="I31" s="2017"/>
      <c r="J31" s="630"/>
      <c r="K31" s="884"/>
      <c r="AF31" s="1972">
        <v>19</v>
      </c>
    </row>
    <row s="21687" customFormat="1" customHeight="1" ht="35.699999999999996">
      <c r="A32" s="1328"/>
      <c r="C32" s="1977"/>
      <c r="D32" s="1979"/>
      <c r="E32" s="2016" t="s">
        <v>853</v>
      </c>
      <c r="F32" s="1295" t="s">
        <v>854</v>
      </c>
      <c r="G32" s="1985" t="s">
        <v>664</v>
      </c>
      <c r="H32" s="920">
        <f>SUM(H33:H34)</f>
        <v>0</v>
      </c>
      <c r="I32" s="920">
        <f>SUM(I33:I34)</f>
        <v>0</v>
      </c>
      <c r="J32" s="630" t="s">
        <v>855</v>
      </c>
      <c r="K32" s="884"/>
      <c r="L32" s="1977"/>
      <c r="M32" s="1977"/>
      <c r="R32" s="1977"/>
      <c r="U32" s="885"/>
      <c r="AA32" s="1973"/>
      <c r="AB32" s="1973"/>
      <c r="AC32" s="1973"/>
      <c r="AD32" s="1973"/>
      <c r="AE32" s="1973"/>
      <c r="AF32" s="1501">
        <v>34</v>
      </c>
    </row>
    <row s="21688" customFormat="1" customHeight="1" ht="1.05">
      <c r="A33" s="1508"/>
      <c r="D33" s="889"/>
      <c r="E33" s="1143" t="str">
        <f>E32&amp;".0"</f>
        <v>2.8.0</v>
      </c>
      <c r="F33" s="1332"/>
      <c r="G33" s="892"/>
      <c r="H33" s="1333"/>
      <c r="I33" s="1333"/>
      <c r="J33" s="1334"/>
      <c r="AF33" s="1977">
        <v>1</v>
      </c>
    </row>
    <row s="21687" customFormat="1" customHeight="1" ht="19.95">
      <c r="A34" s="1328"/>
      <c r="C34" s="1977"/>
      <c r="D34" s="1974"/>
      <c r="E34" s="911"/>
      <c r="F34" s="2007" t="s">
        <v>689</v>
      </c>
      <c r="G34" s="913"/>
      <c r="H34" s="914"/>
      <c r="I34" s="914"/>
      <c r="J34" s="642" t="s">
        <v>856</v>
      </c>
      <c r="K34" s="884"/>
      <c r="L34" s="1977"/>
      <c r="M34" s="1977"/>
      <c r="R34" s="1977"/>
      <c r="U34" s="885"/>
      <c r="AA34" s="1973"/>
      <c r="AB34" s="1973"/>
      <c r="AC34" s="1973"/>
      <c r="AD34" s="1973"/>
      <c r="AE34" s="1973"/>
      <c r="AF34" s="1501">
        <v>19</v>
      </c>
    </row>
    <row customHeight="1" ht="60">
      <c r="D35" s="1979"/>
      <c r="E35" s="2016" t="s">
        <v>857</v>
      </c>
      <c r="F35" s="1295" t="s">
        <v>858</v>
      </c>
      <c r="G35" s="1995" t="s">
        <v>664</v>
      </c>
      <c r="H35" s="2017"/>
      <c r="I35" s="2017"/>
      <c r="J35" s="630" t="s">
        <v>859</v>
      </c>
      <c r="K35" s="884"/>
      <c r="AF35" s="1972">
        <v>57</v>
      </c>
    </row>
    <row s="21687" customFormat="1" customHeight="1" ht="24">
      <c r="A36" s="1330" t="s">
        <v>690</v>
      </c>
      <c r="C36" s="1977"/>
      <c r="D36" s="1979"/>
      <c r="E36" s="2005" t="s">
        <v>90</v>
      </c>
      <c r="F36" s="1048" t="s">
        <v>860</v>
      </c>
      <c r="G36" s="1984" t="s">
        <v>664</v>
      </c>
      <c r="H36" s="898"/>
      <c r="I36" s="898"/>
      <c r="J36" s="630" t="s">
        <v>861</v>
      </c>
      <c r="K36" s="884"/>
      <c r="L36" s="1977"/>
      <c r="M36" s="1977"/>
      <c r="R36" s="1977"/>
      <c r="U36" s="885"/>
      <c r="AA36" s="1973"/>
      <c r="AB36" s="1973"/>
      <c r="AC36" s="1973"/>
      <c r="AD36" s="1973"/>
      <c r="AE36" s="1973"/>
      <c r="AF36" s="1501">
        <v>23</v>
      </c>
    </row>
    <row s="21687" customFormat="1" customHeight="1" ht="35.699999999999996">
      <c r="A37" s="1330"/>
      <c r="C37" s="1977"/>
      <c r="D37" s="1979"/>
      <c r="E37" s="2005" t="s">
        <v>438</v>
      </c>
      <c r="F37" s="1295" t="s">
        <v>862</v>
      </c>
      <c r="G37" s="1995"/>
      <c r="H37" s="898"/>
      <c r="I37" s="898"/>
      <c r="J37" s="630"/>
      <c r="K37" s="884"/>
      <c r="L37" s="1977"/>
      <c r="M37" s="1977"/>
      <c r="R37" s="1977"/>
      <c r="U37" s="885"/>
      <c r="AA37" s="1973"/>
      <c r="AB37" s="1973"/>
      <c r="AC37" s="1973"/>
      <c r="AD37" s="1973"/>
      <c r="AE37" s="1973"/>
      <c r="AF37" s="1501">
        <v>34</v>
      </c>
    </row>
    <row s="21687" customFormat="1" customHeight="1" ht="19.95">
      <c r="A38" s="1328"/>
      <c r="C38" s="1977"/>
      <c r="D38" s="916"/>
      <c r="E38" s="2005" t="s">
        <v>91</v>
      </c>
      <c r="F38" s="1048" t="s">
        <v>863</v>
      </c>
      <c r="G38" s="1984" t="s">
        <v>664</v>
      </c>
      <c r="H38" s="898"/>
      <c r="I38" s="898"/>
      <c r="J38" s="630" t="s">
        <v>864</v>
      </c>
      <c r="K38" s="884"/>
      <c r="L38" s="1977"/>
      <c r="M38" s="1977"/>
      <c r="R38" s="1977"/>
      <c r="U38" s="885"/>
      <c r="AA38" s="1973"/>
      <c r="AB38" s="1973"/>
      <c r="AC38" s="1973"/>
      <c r="AD38" s="1973"/>
      <c r="AE38" s="1973"/>
      <c r="AF38" s="1501">
        <v>19</v>
      </c>
    </row>
    <row s="21687" customFormat="1" customHeight="1" ht="24">
      <c r="A39" s="1328"/>
      <c r="C39" s="1977"/>
      <c r="D39" s="916"/>
      <c r="E39" s="2005" t="s">
        <v>865</v>
      </c>
      <c r="F39" s="1295" t="s">
        <v>866</v>
      </c>
      <c r="G39" s="1995" t="s">
        <v>664</v>
      </c>
      <c r="H39" s="898"/>
      <c r="I39" s="898"/>
      <c r="J39" s="630" t="s">
        <v>867</v>
      </c>
      <c r="K39" s="884"/>
      <c r="L39" s="1977"/>
      <c r="M39" s="1977"/>
      <c r="R39" s="1977"/>
      <c r="U39" s="885"/>
      <c r="AA39" s="1973"/>
      <c r="AB39" s="1973"/>
      <c r="AC39" s="1973"/>
      <c r="AD39" s="1973"/>
      <c r="AE39" s="1973"/>
      <c r="AF39" s="1501">
        <v>23</v>
      </c>
    </row>
    <row s="21687" customFormat="1" customHeight="1" ht="24">
      <c r="A40" s="1328"/>
      <c r="C40" s="1977"/>
      <c r="D40" s="1979"/>
      <c r="E40" s="2005" t="s">
        <v>868</v>
      </c>
      <c r="F40" s="1991" t="s">
        <v>869</v>
      </c>
      <c r="G40" s="1984" t="s">
        <v>664</v>
      </c>
      <c r="H40" s="898"/>
      <c r="I40" s="898"/>
      <c r="J40" s="630" t="s">
        <v>870</v>
      </c>
      <c r="K40" s="884"/>
      <c r="L40" s="1977"/>
      <c r="M40" s="1977"/>
      <c r="R40" s="1977"/>
      <c r="U40" s="885"/>
      <c r="AA40" s="1973"/>
      <c r="AB40" s="1973"/>
      <c r="AC40" s="1973"/>
      <c r="AD40" s="1973"/>
      <c r="AE40" s="1973"/>
      <c r="AF40" s="1501">
        <v>23</v>
      </c>
    </row>
    <row s="21687" customFormat="1" customHeight="1" ht="24">
      <c r="A41" s="1328"/>
      <c r="C41" s="1977"/>
      <c r="D41" s="1979"/>
      <c r="E41" s="2005" t="s">
        <v>871</v>
      </c>
      <c r="F41" s="1991" t="s">
        <v>872</v>
      </c>
      <c r="G41" s="1984" t="s">
        <v>664</v>
      </c>
      <c r="H41" s="898"/>
      <c r="I41" s="898"/>
      <c r="J41" s="630" t="s">
        <v>873</v>
      </c>
      <c r="K41" s="884"/>
      <c r="L41" s="1977"/>
      <c r="M41" s="1977"/>
      <c r="R41" s="1977"/>
      <c r="U41" s="885"/>
      <c r="AA41" s="1973"/>
      <c r="AB41" s="1973"/>
      <c r="AC41" s="1973"/>
      <c r="AD41" s="1973"/>
      <c r="AE41" s="1973"/>
      <c r="AF41" s="1501">
        <v>23</v>
      </c>
    </row>
    <row s="21687" customFormat="1" customHeight="1" ht="24">
      <c r="A42" s="1328"/>
      <c r="C42" s="1977"/>
      <c r="D42" s="1979"/>
      <c r="E42" s="2005" t="s">
        <v>874</v>
      </c>
      <c r="F42" s="1991" t="s">
        <v>875</v>
      </c>
      <c r="G42" s="1984" t="s">
        <v>664</v>
      </c>
      <c r="H42" s="898"/>
      <c r="I42" s="898"/>
      <c r="J42" s="630" t="s">
        <v>876</v>
      </c>
      <c r="K42" s="884"/>
      <c r="L42" s="1977"/>
      <c r="M42" s="1977"/>
      <c r="R42" s="1977"/>
      <c r="U42" s="885"/>
      <c r="AA42" s="1973"/>
      <c r="AB42" s="1973"/>
      <c r="AC42" s="1973"/>
      <c r="AD42" s="1973"/>
      <c r="AE42" s="1973"/>
      <c r="AF42" s="1501">
        <v>23</v>
      </c>
    </row>
    <row s="21687" customFormat="1" customHeight="1" ht="35.699999999999996">
      <c r="A43" s="1328"/>
      <c r="C43" s="1977" t="s">
        <v>700</v>
      </c>
      <c r="D43" s="1979"/>
      <c r="E43" s="2005" t="s">
        <v>116</v>
      </c>
      <c r="F43" s="1048" t="s">
        <v>741</v>
      </c>
      <c r="G43" s="1987" t="s">
        <v>877</v>
      </c>
      <c r="H43" s="742"/>
      <c r="I43" s="742"/>
      <c r="J43" s="630" t="s">
        <v>878</v>
      </c>
      <c r="K43" s="884"/>
      <c r="L43" s="1977"/>
      <c r="M43" s="1977"/>
      <c r="R43" s="1977"/>
      <c r="U43" s="885"/>
      <c r="AA43" s="1973"/>
      <c r="AB43" s="1973"/>
      <c r="AC43" s="1973"/>
      <c r="AD43" s="1973"/>
      <c r="AE43" s="1973"/>
      <c r="AF43" s="1501">
        <v>34</v>
      </c>
    </row>
    <row s="21687" customFormat="1" customHeight="1" ht="35.699999999999996">
      <c r="A44" s="1328"/>
      <c r="C44" s="1977"/>
      <c r="D44" s="1979"/>
      <c r="E44" s="2005" t="s">
        <v>92</v>
      </c>
      <c r="F44" s="1048" t="s">
        <v>879</v>
      </c>
      <c r="G44" s="1984" t="s">
        <v>880</v>
      </c>
      <c r="H44" s="886"/>
      <c r="I44" s="886"/>
      <c r="J44" s="630" t="s">
        <v>881</v>
      </c>
      <c r="K44" s="884"/>
      <c r="L44" s="1977"/>
      <c r="M44" s="1977"/>
      <c r="R44" s="1977"/>
      <c r="U44" s="885"/>
      <c r="AA44" s="1973"/>
      <c r="AB44" s="1973"/>
      <c r="AC44" s="1973"/>
      <c r="AD44" s="1973"/>
      <c r="AE44" s="1973"/>
      <c r="AF44" s="1501">
        <v>34</v>
      </c>
    </row>
    <row s="21687" customFormat="1" customHeight="1" ht="24">
      <c r="A45" s="1328"/>
      <c r="C45" s="1977"/>
      <c r="D45" s="1979"/>
      <c r="E45" s="2005" t="s">
        <v>93</v>
      </c>
      <c r="F45" s="1048" t="s">
        <v>882</v>
      </c>
      <c r="G45" s="1995" t="s">
        <v>883</v>
      </c>
      <c r="H45" s="886"/>
      <c r="I45" s="886"/>
      <c r="J45" s="630" t="s">
        <v>884</v>
      </c>
      <c r="K45" s="884"/>
      <c r="L45" s="1977"/>
      <c r="M45" s="1977"/>
      <c r="R45" s="1977"/>
      <c r="U45" s="885"/>
      <c r="AA45" s="1973"/>
      <c r="AB45" s="1973"/>
      <c r="AC45" s="1973"/>
      <c r="AD45" s="1973"/>
      <c r="AE45" s="1973"/>
      <c r="AF45" s="1501">
        <v>23</v>
      </c>
    </row>
    <row s="21687" customFormat="1" customHeight="1" ht="19.95">
      <c r="A46" s="1328"/>
      <c r="C46" s="1977"/>
      <c r="D46" s="1979"/>
      <c r="E46" s="2005" t="s">
        <v>129</v>
      </c>
      <c r="F46" s="1048" t="s">
        <v>885</v>
      </c>
      <c r="G46" s="1984" t="s">
        <v>702</v>
      </c>
      <c r="H46" s="918"/>
      <c r="I46" s="918"/>
      <c r="J46" s="630"/>
      <c r="K46" s="884"/>
      <c r="L46" s="1977"/>
      <c r="M46" s="1977"/>
      <c r="R46" s="1977"/>
      <c r="U46" s="885"/>
      <c r="AA46" s="1973"/>
      <c r="AB46" s="1973"/>
      <c r="AC46" s="1973"/>
      <c r="AD46" s="1973"/>
      <c r="AE46" s="1973"/>
      <c r="AF46" s="1501">
        <v>19</v>
      </c>
    </row>
    <row customHeight="1" ht="11.549999999999999">
      <c r="D47" s="1979"/>
      <c r="AF47" s="1972">
        <v>11</v>
      </c>
    </row>
    <row s="22350"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22350"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22350"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22350"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22350"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22350"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22350"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22350"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22350"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22350"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22350"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22350"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22350"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22350"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22350"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22350"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22350"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22350"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22350"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22350"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22350"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22350"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22350"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22350"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22350"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22350"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22350"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22350"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22350"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22350"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22350"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22350"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22350"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22350"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22350"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22350"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22350"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22350"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22350"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22350"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22350"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22350"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22350"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22350"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22350"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22350"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22350"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22350"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22350"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22350"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22350"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22350"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22350"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22350"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22350"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22350"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22350"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22350"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22350"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22350"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22350"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22350"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22350"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22350"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22350"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22350"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22350"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22350"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22350"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22350"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22350"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22350"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22350"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22350"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22350"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22350"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22350"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22350"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22350"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22350"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22350"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22350"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22350"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22350"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22350"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22350"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35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35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350"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35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35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35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35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35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35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35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35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35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35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35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35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35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35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35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35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35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35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35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35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35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35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35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35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35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35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35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35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35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35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35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35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35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35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35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35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35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35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35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35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35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35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35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35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35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35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35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35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35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35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35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35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35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35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35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35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35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35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35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22350"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22350"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22350"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22350"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22350"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22350"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22350"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82</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B9637-31E5-4F08-874E-919B93B31A1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6520" width="10.7109375" hidden="1" customWidth="1"/>
    <col min="2" max="2" style="21687" width="16.8515625" hidden="1" customWidth="1"/>
    <col min="3" max="3" style="21688" width="5.57421875" hidden="1" customWidth="1"/>
    <col min="4" max="4" style="21605" width="3.00390625" customWidth="1"/>
    <col min="5" max="5" style="21605" width="7.00390625" customWidth="1"/>
    <col min="6" max="6" style="21605" width="54.00390625" customWidth="1"/>
    <col min="7" max="7" style="21605" width="10.00390625" customWidth="1"/>
    <col min="8" max="8" style="21605" width="40.7109375" hidden="1" customWidth="1"/>
    <col min="9" max="9" style="21605" width="40.00390625" customWidth="1"/>
    <col min="10" max="10" style="21605" width="102.00390625" customWidth="1"/>
    <col min="11" max="11" style="21687" width="9.00390625" customWidth="1"/>
    <col min="12" max="12" style="21688" width="5.00390625" customWidth="1"/>
    <col min="13" max="13" style="21688" width="3.00390625" customWidth="1"/>
    <col min="14" max="17" style="21687" width="3.00390625" customWidth="1"/>
    <col min="18" max="18" style="21688" width="10.00390625" customWidth="1"/>
    <col min="19" max="19" style="21687" width="34.00390625" customWidth="1"/>
    <col min="20" max="20" style="21687" width="9.00390625" customWidth="1"/>
    <col min="21" max="21" style="26521" width="8.00390625" customWidth="1"/>
    <col min="22" max="26" style="21687" width="8.00390625" customWidth="1"/>
    <col min="27" max="31" style="21569" width="8.00390625" customWidth="1"/>
    <col min="32" max="32" style="21605" width="9.140625" hidden="1"/>
  </cols>
  <sheetData>
    <row s="21687" customFormat="1" customHeight="1" ht="22.5" hidden="1">
      <c r="A1" s="1328"/>
      <c r="C1" s="1977"/>
      <c r="D1" s="878"/>
      <c r="H1" s="1501">
        <v>4</v>
      </c>
      <c r="I1" s="1501">
        <v>4</v>
      </c>
      <c r="L1" s="1977"/>
      <c r="M1" s="1977"/>
      <c r="R1" s="1977"/>
      <c r="AF1" s="1501" t="s">
        <v>14</v>
      </c>
    </row>
    <row s="21687" customFormat="1" customHeight="1" ht="22.5" hidden="1">
      <c r="A2" s="1328"/>
      <c r="C2" s="1977"/>
      <c r="D2" s="879"/>
      <c r="E2" s="1999"/>
      <c r="F2" s="881"/>
      <c r="G2" s="1998" t="s">
        <v>664</v>
      </c>
      <c r="H2" s="882"/>
      <c r="I2" s="882"/>
      <c r="J2" s="883" t="s">
        <v>667</v>
      </c>
      <c r="K2" s="884"/>
      <c r="L2" s="1977"/>
      <c r="M2" s="1977"/>
      <c r="R2" s="1977"/>
      <c r="U2" s="885"/>
      <c r="AA2" s="1973"/>
      <c r="AB2" s="1973"/>
      <c r="AC2" s="1973"/>
      <c r="AD2" s="1973"/>
      <c r="AE2" s="1973"/>
      <c r="AF2" s="1501">
        <v>0</v>
      </c>
    </row>
    <row customHeight="1" ht="11.25" hidden="1">
      <c r="AF3" s="1972">
        <v>0</v>
      </c>
    </row>
    <row s="21569"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886</v>
      </c>
      <c r="F6" s="2589"/>
      <c r="G6" s="2589"/>
      <c r="H6" s="2589"/>
      <c r="I6" s="2589"/>
      <c r="J6" s="897"/>
      <c r="AF6" s="1972">
        <v>32</v>
      </c>
    </row>
    <row customHeight="1" ht="25.2">
      <c r="E7" s="2590" t="str">
        <f>IF(org=0,"Не определено",org)</f>
        <v>КГУП "Примтеплоэнерго"</v>
      </c>
      <c r="F7" s="2590"/>
      <c r="G7" s="2590"/>
      <c r="H7" s="2590"/>
      <c r="I7" s="2590"/>
      <c r="AF7" s="1972">
        <v>24</v>
      </c>
    </row>
    <row customHeight="1" ht="11.549999999999999">
      <c r="E8" s="1476"/>
      <c r="F8" s="1476"/>
      <c r="G8" s="1476"/>
      <c r="H8" s="1476"/>
      <c r="I8" s="1476"/>
      <c r="AF8" s="1972">
        <v>11</v>
      </c>
    </row>
    <row s="21688" customFormat="1" customHeight="1" ht="1.05">
      <c r="A9" s="1508"/>
      <c r="D9" s="1983"/>
      <c r="H9" s="1230"/>
      <c r="I9" s="1230" t="s">
        <v>158</v>
      </c>
      <c r="AF9" s="1977">
        <v>1</v>
      </c>
    </row>
    <row customHeight="1" ht="11.549999999999999">
      <c r="E10" s="1052"/>
      <c r="F10" s="2708" t="s">
        <v>150</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676</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677</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414</v>
      </c>
      <c r="F13" s="2711"/>
      <c r="G13" s="2711"/>
      <c r="H13" s="1997"/>
      <c r="I13" s="1997"/>
      <c r="J13" s="2468"/>
      <c r="AF13" s="1972">
        <v>11</v>
      </c>
    </row>
    <row customHeight="1" ht="24">
      <c r="E14" s="1998" t="s">
        <v>88</v>
      </c>
      <c r="F14" s="2001" t="s">
        <v>416</v>
      </c>
      <c r="G14" s="2001" t="s">
        <v>678</v>
      </c>
      <c r="H14" s="2001" t="s">
        <v>417</v>
      </c>
      <c r="I14" s="2001" t="s">
        <v>417</v>
      </c>
      <c r="J14" s="2468"/>
      <c r="AF14" s="1972">
        <v>23</v>
      </c>
    </row>
    <row customHeight="1" ht="19.95">
      <c r="D15" s="1979"/>
      <c r="E15" s="1971" t="s">
        <v>145</v>
      </c>
      <c r="F15" s="1048" t="s">
        <v>887</v>
      </c>
      <c r="G15" s="1998" t="s">
        <v>664</v>
      </c>
      <c r="H15" s="898"/>
      <c r="I15" s="898"/>
      <c r="J15" s="630" t="s">
        <v>888</v>
      </c>
      <c r="K15" s="884" t="s">
        <v>742</v>
      </c>
      <c r="AF15" s="1972">
        <v>19</v>
      </c>
    </row>
    <row customHeight="1" ht="24">
      <c r="D16" s="1979"/>
      <c r="E16" s="1971" t="s">
        <v>103</v>
      </c>
      <c r="F16" s="2006" t="s">
        <v>889</v>
      </c>
      <c r="G16" s="1998" t="s">
        <v>664</v>
      </c>
      <c r="H16" s="899">
        <f>SUM(H17,H20:H27)</f>
        <v>0</v>
      </c>
      <c r="I16" s="899">
        <f>SUM(I17,I20:I27)</f>
        <v>0</v>
      </c>
      <c r="J16" s="630" t="s">
        <v>890</v>
      </c>
      <c r="K16" s="884" t="s">
        <v>742</v>
      </c>
      <c r="AF16" s="1972">
        <v>23</v>
      </c>
    </row>
    <row customHeight="1" ht="35.699999999999996">
      <c r="D17" s="1979"/>
      <c r="E17" s="2005" t="s">
        <v>820</v>
      </c>
      <c r="F17" s="2008" t="s">
        <v>891</v>
      </c>
      <c r="G17" s="1995" t="s">
        <v>664</v>
      </c>
      <c r="H17" s="898"/>
      <c r="I17" s="898"/>
      <c r="J17" s="630" t="s">
        <v>892</v>
      </c>
      <c r="K17" s="884"/>
      <c r="AF17" s="1972">
        <v>34</v>
      </c>
    </row>
    <row customHeight="1" ht="19.95">
      <c r="D18" s="1979"/>
      <c r="E18" s="2005" t="s">
        <v>823</v>
      </c>
      <c r="F18" s="2009" t="s">
        <v>893</v>
      </c>
      <c r="G18" s="1995" t="s">
        <v>664</v>
      </c>
      <c r="H18" s="898"/>
      <c r="I18" s="898"/>
      <c r="J18" s="630"/>
      <c r="K18" s="884"/>
      <c r="AF18" s="1972">
        <v>19</v>
      </c>
    </row>
    <row customHeight="1" ht="24">
      <c r="D19" s="1979"/>
      <c r="E19" s="2005" t="s">
        <v>826</v>
      </c>
      <c r="F19" s="2009" t="s">
        <v>894</v>
      </c>
      <c r="G19" s="1995" t="s">
        <v>664</v>
      </c>
      <c r="H19" s="898"/>
      <c r="I19" s="898"/>
      <c r="J19" s="630"/>
      <c r="K19" s="884"/>
      <c r="AF19" s="1972">
        <v>23</v>
      </c>
    </row>
    <row customHeight="1" ht="35.699999999999996">
      <c r="D20" s="1979"/>
      <c r="E20" s="2005" t="s">
        <v>421</v>
      </c>
      <c r="F20" s="2008" t="s">
        <v>895</v>
      </c>
      <c r="G20" s="1995" t="s">
        <v>664</v>
      </c>
      <c r="H20" s="898"/>
      <c r="I20" s="898"/>
      <c r="J20" s="630"/>
      <c r="K20" s="884"/>
      <c r="AF20" s="1972">
        <v>34</v>
      </c>
    </row>
    <row customHeight="1" ht="48.29999999999999">
      <c r="D21" s="1979"/>
      <c r="E21" s="2005" t="s">
        <v>424</v>
      </c>
      <c r="F21" s="2008" t="s">
        <v>896</v>
      </c>
      <c r="G21" s="1995" t="s">
        <v>664</v>
      </c>
      <c r="H21" s="898"/>
      <c r="I21" s="898"/>
      <c r="J21" s="630"/>
      <c r="K21" s="884"/>
      <c r="AF21" s="1972">
        <v>46</v>
      </c>
    </row>
    <row customHeight="1" ht="60">
      <c r="D22" s="1979"/>
      <c r="E22" s="2005" t="s">
        <v>840</v>
      </c>
      <c r="F22" s="2008" t="s">
        <v>897</v>
      </c>
      <c r="G22" s="1995" t="s">
        <v>664</v>
      </c>
      <c r="H22" s="898"/>
      <c r="I22" s="898"/>
      <c r="J22" s="630"/>
      <c r="K22" s="884"/>
      <c r="AF22" s="1972">
        <v>57</v>
      </c>
    </row>
    <row customHeight="1" ht="35.699999999999996">
      <c r="D23" s="1979"/>
      <c r="E23" s="2005" t="s">
        <v>847</v>
      </c>
      <c r="F23" s="2008" t="s">
        <v>898</v>
      </c>
      <c r="G23" s="1995" t="s">
        <v>664</v>
      </c>
      <c r="H23" s="898"/>
      <c r="I23" s="898"/>
      <c r="J23" s="630"/>
      <c r="K23" s="884"/>
      <c r="AF23" s="1972">
        <v>34</v>
      </c>
    </row>
    <row customHeight="1" ht="35.699999999999996">
      <c r="D24" s="1979"/>
      <c r="E24" s="2005" t="s">
        <v>849</v>
      </c>
      <c r="F24" s="2008" t="s">
        <v>899</v>
      </c>
      <c r="G24" s="1995" t="s">
        <v>664</v>
      </c>
      <c r="H24" s="898"/>
      <c r="I24" s="898"/>
      <c r="J24" s="630"/>
      <c r="K24" s="884"/>
      <c r="AF24" s="1972">
        <v>34</v>
      </c>
    </row>
    <row customHeight="1" ht="24">
      <c r="D25" s="1979"/>
      <c r="E25" s="2005" t="s">
        <v>851</v>
      </c>
      <c r="F25" s="2008" t="s">
        <v>900</v>
      </c>
      <c r="G25" s="1995" t="s">
        <v>664</v>
      </c>
      <c r="H25" s="898"/>
      <c r="I25" s="898"/>
      <c r="J25" s="630"/>
      <c r="K25" s="884"/>
      <c r="AF25" s="1972">
        <v>23</v>
      </c>
    </row>
    <row customHeight="1" ht="76.5">
      <c r="D26" s="1979"/>
      <c r="E26" s="2005" t="s">
        <v>853</v>
      </c>
      <c r="F26" s="2008" t="s">
        <v>901</v>
      </c>
      <c r="G26" s="1995" t="s">
        <v>664</v>
      </c>
      <c r="H26" s="898"/>
      <c r="I26" s="898"/>
      <c r="J26" s="630"/>
      <c r="K26" s="884"/>
      <c r="AF26" s="1972">
        <v>73</v>
      </c>
    </row>
    <row s="21687" customFormat="1" customHeight="1" ht="35.699999999999996">
      <c r="A27" s="1328"/>
      <c r="C27" s="1977"/>
      <c r="D27" s="1979"/>
      <c r="E27" s="1970" t="s">
        <v>857</v>
      </c>
      <c r="F27" s="1969" t="s">
        <v>902</v>
      </c>
      <c r="G27" s="1996" t="s">
        <v>664</v>
      </c>
      <c r="H27" s="920">
        <f>SUM(H28:H29)</f>
        <v>0</v>
      </c>
      <c r="I27" s="920">
        <f>SUM(I28:I29)</f>
        <v>0</v>
      </c>
      <c r="J27" s="630" t="s">
        <v>855</v>
      </c>
      <c r="K27" s="884"/>
      <c r="L27" s="1977"/>
      <c r="M27" s="1977"/>
      <c r="R27" s="1977"/>
      <c r="U27" s="885"/>
      <c r="AA27" s="1973"/>
      <c r="AB27" s="1973"/>
      <c r="AC27" s="1973"/>
      <c r="AD27" s="1973"/>
      <c r="AE27" s="1973"/>
      <c r="AF27" s="1501">
        <v>34</v>
      </c>
    </row>
    <row s="21688" customFormat="1" customHeight="1" ht="1.05">
      <c r="A28" s="1508"/>
      <c r="D28" s="889"/>
      <c r="E28" s="1143" t="str">
        <f>E27&amp;".0"</f>
        <v>2.9.0</v>
      </c>
      <c r="F28" s="1332"/>
      <c r="G28" s="892"/>
      <c r="H28" s="1333"/>
      <c r="I28" s="1333"/>
      <c r="J28" s="1334"/>
      <c r="AF28" s="1977">
        <v>1</v>
      </c>
    </row>
    <row s="21687" customFormat="1" customHeight="1" ht="19.95">
      <c r="A29" s="1328"/>
      <c r="C29" s="1977"/>
      <c r="D29" s="1974"/>
      <c r="E29" s="911"/>
      <c r="F29" s="2007" t="s">
        <v>689</v>
      </c>
      <c r="G29" s="913"/>
      <c r="H29" s="914"/>
      <c r="I29" s="914"/>
      <c r="J29" s="642" t="s">
        <v>856</v>
      </c>
      <c r="K29" s="884"/>
      <c r="L29" s="1977"/>
      <c r="M29" s="1977"/>
      <c r="R29" s="1977"/>
      <c r="U29" s="885"/>
      <c r="AA29" s="1973"/>
      <c r="AB29" s="1973"/>
      <c r="AC29" s="1973"/>
      <c r="AD29" s="1973"/>
      <c r="AE29" s="1973"/>
      <c r="AF29" s="1501">
        <v>19</v>
      </c>
    </row>
    <row s="21687" customFormat="1" customHeight="1" ht="24">
      <c r="A30" s="1328"/>
      <c r="C30" s="1977"/>
      <c r="D30" s="1979"/>
      <c r="E30" s="2005" t="s">
        <v>90</v>
      </c>
      <c r="F30" s="2002" t="s">
        <v>903</v>
      </c>
      <c r="G30" s="1995" t="s">
        <v>664</v>
      </c>
      <c r="H30" s="898"/>
      <c r="I30" s="898"/>
      <c r="J30" s="630"/>
      <c r="K30" s="884"/>
      <c r="L30" s="1977"/>
      <c r="M30" s="1977"/>
      <c r="R30" s="1977"/>
      <c r="U30" s="885"/>
      <c r="AA30" s="1973"/>
      <c r="AB30" s="1973"/>
      <c r="AC30" s="1973"/>
      <c r="AD30" s="1973"/>
      <c r="AE30" s="1973"/>
      <c r="AF30" s="1501">
        <v>23</v>
      </c>
    </row>
    <row s="21687" customFormat="1" customHeight="1" ht="35.699999999999996">
      <c r="A31" s="1328"/>
      <c r="C31" s="1977"/>
      <c r="D31" s="916"/>
      <c r="E31" s="2005" t="s">
        <v>91</v>
      </c>
      <c r="F31" s="2002" t="s">
        <v>904</v>
      </c>
      <c r="G31" s="1995" t="s">
        <v>664</v>
      </c>
      <c r="H31" s="898"/>
      <c r="I31" s="898"/>
      <c r="J31" s="630" t="s">
        <v>905</v>
      </c>
      <c r="K31" s="884"/>
      <c r="L31" s="1977"/>
      <c r="M31" s="1977"/>
      <c r="R31" s="1977"/>
      <c r="U31" s="885"/>
      <c r="AA31" s="1973"/>
      <c r="AB31" s="1973"/>
      <c r="AC31" s="1973"/>
      <c r="AD31" s="1973"/>
      <c r="AE31" s="1973"/>
      <c r="AF31" s="1501">
        <v>34</v>
      </c>
    </row>
    <row s="21687" customFormat="1" customHeight="1" ht="24">
      <c r="A32" s="1328"/>
      <c r="C32" s="1977"/>
      <c r="D32" s="1979"/>
      <c r="E32" s="2005" t="s">
        <v>865</v>
      </c>
      <c r="F32" s="1031" t="s">
        <v>869</v>
      </c>
      <c r="G32" s="1995" t="s">
        <v>664</v>
      </c>
      <c r="H32" s="898"/>
      <c r="I32" s="898"/>
      <c r="J32" s="630" t="s">
        <v>906</v>
      </c>
      <c r="K32" s="884"/>
      <c r="L32" s="1977"/>
      <c r="M32" s="1977"/>
      <c r="R32" s="1977"/>
      <c r="U32" s="885"/>
      <c r="AA32" s="1973"/>
      <c r="AB32" s="1973"/>
      <c r="AC32" s="1973"/>
      <c r="AD32" s="1973"/>
      <c r="AE32" s="1973"/>
      <c r="AF32" s="1501">
        <v>23</v>
      </c>
    </row>
    <row s="21687" customFormat="1" customHeight="1" ht="24">
      <c r="A33" s="1328"/>
      <c r="C33" s="1977"/>
      <c r="D33" s="1979"/>
      <c r="E33" s="2005" t="s">
        <v>907</v>
      </c>
      <c r="F33" s="1031" t="s">
        <v>908</v>
      </c>
      <c r="G33" s="1995" t="s">
        <v>664</v>
      </c>
      <c r="H33" s="898"/>
      <c r="I33" s="898"/>
      <c r="J33" s="630" t="s">
        <v>909</v>
      </c>
      <c r="K33" s="884"/>
      <c r="L33" s="1977"/>
      <c r="M33" s="1977"/>
      <c r="R33" s="1977"/>
      <c r="U33" s="885"/>
      <c r="AA33" s="1973"/>
      <c r="AB33" s="1973"/>
      <c r="AC33" s="1973"/>
      <c r="AD33" s="1973"/>
      <c r="AE33" s="1973"/>
      <c r="AF33" s="1501">
        <v>23</v>
      </c>
    </row>
    <row s="21687" customFormat="1" customHeight="1" ht="24">
      <c r="A34" s="1328"/>
      <c r="C34" s="1977"/>
      <c r="D34" s="1979"/>
      <c r="E34" s="2005" t="s">
        <v>910</v>
      </c>
      <c r="F34" s="1031" t="s">
        <v>875</v>
      </c>
      <c r="G34" s="1995" t="s">
        <v>664</v>
      </c>
      <c r="H34" s="898"/>
      <c r="I34" s="898"/>
      <c r="J34" s="630" t="s">
        <v>911</v>
      </c>
      <c r="K34" s="884"/>
      <c r="L34" s="1977"/>
      <c r="M34" s="1977"/>
      <c r="R34" s="1977"/>
      <c r="U34" s="885"/>
      <c r="AA34" s="1973"/>
      <c r="AB34" s="1973"/>
      <c r="AC34" s="1973"/>
      <c r="AD34" s="1973"/>
      <c r="AE34" s="1973"/>
      <c r="AF34" s="1501">
        <v>23</v>
      </c>
    </row>
    <row s="21687" customFormat="1" customHeight="1" ht="35.699999999999996">
      <c r="A35" s="1328"/>
      <c r="C35" s="1977" t="s">
        <v>700</v>
      </c>
      <c r="D35" s="1979"/>
      <c r="E35" s="2005" t="s">
        <v>116</v>
      </c>
      <c r="F35" s="2002" t="s">
        <v>741</v>
      </c>
      <c r="G35" s="1998" t="s">
        <v>420</v>
      </c>
      <c r="H35" s="742"/>
      <c r="I35" s="742"/>
      <c r="J35" s="630" t="s">
        <v>912</v>
      </c>
      <c r="K35" s="884"/>
      <c r="L35" s="1977"/>
      <c r="M35" s="1977"/>
      <c r="R35" s="1977"/>
      <c r="U35" s="885"/>
      <c r="AA35" s="1973"/>
      <c r="AB35" s="1973"/>
      <c r="AC35" s="1973"/>
      <c r="AD35" s="1973"/>
      <c r="AE35" s="1973"/>
      <c r="AF35" s="1501">
        <v>34</v>
      </c>
    </row>
    <row s="21687" customFormat="1" customHeight="1" ht="35.699999999999996">
      <c r="A36" s="1328"/>
      <c r="C36" s="1977"/>
      <c r="D36" s="1979"/>
      <c r="E36" s="2005" t="s">
        <v>92</v>
      </c>
      <c r="F36" s="2002" t="s">
        <v>913</v>
      </c>
      <c r="G36" s="1995" t="s">
        <v>880</v>
      </c>
      <c r="H36" s="886"/>
      <c r="I36" s="886"/>
      <c r="J36" s="630" t="s">
        <v>881</v>
      </c>
      <c r="K36" s="884"/>
      <c r="L36" s="1977"/>
      <c r="M36" s="1977"/>
      <c r="R36" s="1977"/>
      <c r="U36" s="885"/>
      <c r="AA36" s="1973"/>
      <c r="AB36" s="1973"/>
      <c r="AC36" s="1973"/>
      <c r="AD36" s="1973"/>
      <c r="AE36" s="1973"/>
      <c r="AF36" s="1501">
        <v>34</v>
      </c>
    </row>
    <row s="21687" customFormat="1" customHeight="1" ht="24">
      <c r="A37" s="1328"/>
      <c r="C37" s="1977"/>
      <c r="D37" s="1979"/>
      <c r="E37" s="2005" t="s">
        <v>93</v>
      </c>
      <c r="F37" s="2002" t="s">
        <v>914</v>
      </c>
      <c r="G37" s="1995" t="s">
        <v>883</v>
      </c>
      <c r="H37" s="886"/>
      <c r="I37" s="886"/>
      <c r="J37" s="630" t="s">
        <v>884</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915</v>
      </c>
      <c r="F39" s="2626" t="s">
        <v>916</v>
      </c>
      <c r="G39" s="2626"/>
      <c r="H39" s="710"/>
      <c r="I39" s="710"/>
      <c r="J39" s="710"/>
      <c r="AF39" s="1972">
        <v>26</v>
      </c>
    </row>
    <row s="22350" customFormat="1" customHeight="1" ht="39.75">
      <c r="A40" s="1328"/>
      <c r="B40" s="1977"/>
      <c r="C40" s="1977"/>
      <c r="D40" s="692"/>
      <c r="F40" s="2626" t="s">
        <v>917</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22350"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22350"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22350"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22350"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22350"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22350"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22350"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22350"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22350"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22350"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22350"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22350"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22350"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22350"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22350"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22350"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22350"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22350"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22350"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22350"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22350"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22350"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22350"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22350"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22350"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22350"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22350"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22350"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22350"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22350"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22350"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22350"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22350"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22350"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22350"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22350"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22350"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22350"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22350"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22350"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22350"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22350"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22350"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22350"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22350"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22350"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22350"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22350"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22350"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22350"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22350"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22350"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22350"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22350"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22350"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22350"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22350"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22350"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22350"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22350"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22350"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22350"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22350"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22350"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22350"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22350"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22350"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22350"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22350"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22350"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22350"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22350"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22350"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22350"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22350"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22350"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22350"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22350"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22350"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22350"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22350"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22350"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22350"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22350"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22350"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22350"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22350"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22350"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22350"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22350"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22350"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22350"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22350"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2235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2235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22350"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2235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2235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2235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2235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2235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2235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2235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2235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2235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2235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2235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2235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2235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2235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2235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2235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2235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2235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2235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2235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2235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2235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2235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2235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2235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2235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2235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2235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2235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2235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2235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2235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2235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2235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2235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2235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2235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2235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2235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2235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2235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2235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2235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2235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2235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2235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2235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2235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2235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2235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2235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2235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2235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2235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2235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2235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2235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2235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2235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82</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88DCD-729A-1FEC-3875-11546361026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6747" width="9.140625" hidden="1" customWidth="1"/>
    <col min="2" max="2" style="21688" width="3.57421875" hidden="1" customWidth="1"/>
    <col min="3" max="3" style="21605" width="3.00390625" customWidth="1"/>
    <col min="4" max="4" style="21605" width="7.00390625" customWidth="1"/>
    <col min="5" max="5" style="21605" width="69.00390625" customWidth="1"/>
    <col min="6" max="6" style="21605" width="10.00390625" customWidth="1"/>
    <col min="7" max="8" style="21605" width="44.00390625" hidden="1" customWidth="1"/>
    <col min="9" max="9" style="21605" width="44.00390625" customWidth="1"/>
    <col min="10" max="10" style="21605" width="43.00390625" customWidth="1"/>
    <col min="11" max="11" style="21605" width="73.00390625" customWidth="1"/>
    <col min="12" max="12" style="21605" width="3.00390625" customWidth="1"/>
    <col min="13" max="23" style="21605" width="10.00390625" customWidth="1"/>
    <col min="24" max="24" style="21605" width="10.57421875" hidden="1"/>
  </cols>
  <sheetData>
    <row s="21687" customFormat="1" customHeight="1" ht="22.5" hidden="1">
      <c r="A1" s="877"/>
      <c r="B1" s="852"/>
      <c r="G1" s="758">
        <v>4</v>
      </c>
      <c r="I1" s="758">
        <v>4</v>
      </c>
      <c r="K1" s="758">
        <v>5</v>
      </c>
      <c r="X1" s="758" t="s">
        <v>14</v>
      </c>
    </row>
    <row customHeight="1" ht="3">
      <c r="X2" s="846">
        <v>3</v>
      </c>
    </row>
    <row customHeight="1" ht="78.75">
      <c r="D3" s="25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0"/>
      <c r="F3" s="2581"/>
      <c r="X3" s="846">
        <v>75</v>
      </c>
    </row>
    <row s="21605" customFormat="1" customHeight="1" ht="21">
      <c r="A4" s="1292"/>
      <c r="B4" s="852"/>
      <c r="D4" s="2555" t="str">
        <f>IF(org=0,"Не определено",org)</f>
        <v>КГУП "Примтеплоэнерго"</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158</v>
      </c>
      <c r="J6" s="1363"/>
      <c r="X6" s="846">
        <v>1</v>
      </c>
    </row>
    <row customHeight="1" ht="11.549999999999999">
      <c r="D7" s="1052"/>
      <c r="E7" s="2708" t="s">
        <v>150</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676</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677</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21605" customFormat="1" customHeight="1" ht="11.549999999999999">
      <c r="A10" s="1362"/>
      <c r="B10" s="852"/>
      <c r="D10" s="2442" t="s">
        <v>414</v>
      </c>
      <c r="E10" s="2443"/>
      <c r="F10" s="2443"/>
      <c r="G10" s="2443"/>
      <c r="H10" s="2443"/>
      <c r="I10" s="2443"/>
      <c r="J10" s="2444"/>
      <c r="K10" s="2540"/>
      <c r="L10" s="850"/>
      <c r="X10" s="1099">
        <v>11</v>
      </c>
    </row>
    <row s="21605" customFormat="1" customHeight="1" ht="24">
      <c r="A11" s="2726"/>
      <c r="B11" s="2726"/>
      <c r="C11" s="998"/>
      <c r="D11" s="1044" t="s">
        <v>88</v>
      </c>
      <c r="E11" s="1046" t="s">
        <v>918</v>
      </c>
      <c r="F11" s="1046" t="s">
        <v>678</v>
      </c>
      <c r="G11" s="806" t="s">
        <v>417</v>
      </c>
      <c r="H11" s="806" t="s">
        <v>504</v>
      </c>
      <c r="I11" s="1148" t="s">
        <v>417</v>
      </c>
      <c r="J11" s="1149" t="s">
        <v>504</v>
      </c>
      <c r="K11" s="2573"/>
      <c r="L11" s="999"/>
      <c r="X11" s="850">
        <v>23</v>
      </c>
    </row>
    <row s="21688" customFormat="1" customHeight="1" ht="10.5">
      <c r="A12" s="1293"/>
      <c r="D12" s="1366" t="s">
        <v>145</v>
      </c>
      <c r="E12" s="1366" t="s">
        <v>103</v>
      </c>
      <c r="F12" s="1366" t="s">
        <v>90</v>
      </c>
      <c r="G12" s="1367" t="str">
        <f>G1&amp;".1"</f>
        <v>4.1</v>
      </c>
      <c r="H12" s="1367" t="str">
        <f>G1&amp;".2"</f>
        <v>4.2</v>
      </c>
      <c r="I12" s="1367" t="str">
        <f>I1&amp;".1"</f>
        <v>4.1</v>
      </c>
      <c r="J12" s="1367" t="str">
        <f>I1&amp;".2"</f>
        <v>4.2</v>
      </c>
      <c r="K12" s="1367"/>
      <c r="X12" s="852">
        <v>10</v>
      </c>
    </row>
    <row customHeight="1" ht="22.5" hidden="1">
      <c r="A13" s="2733" t="s">
        <v>919</v>
      </c>
      <c r="D13" s="1294" t="s">
        <v>145</v>
      </c>
      <c r="E13" s="620" t="s">
        <v>920</v>
      </c>
      <c r="F13" s="1001" t="s">
        <v>921</v>
      </c>
      <c r="G13" s="898"/>
      <c r="H13" s="1002"/>
      <c r="I13" s="898"/>
      <c r="J13" s="1002"/>
      <c r="K13" s="630" t="s">
        <v>922</v>
      </c>
      <c r="L13" s="1061"/>
      <c r="X13" s="846">
        <v>0</v>
      </c>
    </row>
    <row customHeight="1" ht="22.5" hidden="1">
      <c r="A14" s="2733"/>
      <c r="D14" s="880" t="s">
        <v>103</v>
      </c>
      <c r="E14" s="620" t="s">
        <v>923</v>
      </c>
      <c r="F14" s="1001" t="s">
        <v>924</v>
      </c>
      <c r="G14" s="898"/>
      <c r="H14" s="1003"/>
      <c r="I14" s="898"/>
      <c r="J14" s="1003"/>
      <c r="K14" s="630" t="s">
        <v>925</v>
      </c>
      <c r="L14" s="1061"/>
      <c r="X14" s="846">
        <v>0</v>
      </c>
    </row>
    <row s="21605" customFormat="1" customHeight="1" ht="78.75" hidden="1">
      <c r="A15" s="2733"/>
      <c r="B15" s="852"/>
      <c r="D15" s="1294" t="s">
        <v>90</v>
      </c>
      <c r="E15" s="1048" t="s">
        <v>926</v>
      </c>
      <c r="F15" s="1291" t="s">
        <v>420</v>
      </c>
      <c r="G15" s="1291" t="s">
        <v>420</v>
      </c>
      <c r="H15" s="447"/>
      <c r="I15" s="1291" t="s">
        <v>420</v>
      </c>
      <c r="J15" s="447"/>
      <c r="K15" s="630" t="s">
        <v>927</v>
      </c>
      <c r="L15" s="1061"/>
      <c r="X15" s="1099">
        <v>0</v>
      </c>
    </row>
    <row s="21605" customFormat="1" customHeight="1" ht="22.5" hidden="1">
      <c r="A16" s="2733"/>
      <c r="B16" s="852"/>
      <c r="D16" s="1294" t="s">
        <v>438</v>
      </c>
      <c r="E16" s="1295" t="s">
        <v>928</v>
      </c>
      <c r="F16" s="1291" t="s">
        <v>929</v>
      </c>
      <c r="G16" s="1158"/>
      <c r="H16" s="447"/>
      <c r="I16" s="1158"/>
      <c r="J16" s="447"/>
      <c r="K16" s="630"/>
      <c r="L16" s="1061"/>
      <c r="X16" s="1099">
        <v>0</v>
      </c>
    </row>
    <row s="21605" customFormat="1" customHeight="1" ht="22.5" hidden="1">
      <c r="A17" s="2733"/>
      <c r="B17" s="852"/>
      <c r="D17" s="1294" t="s">
        <v>446</v>
      </c>
      <c r="E17" s="1295" t="s">
        <v>930</v>
      </c>
      <c r="F17" s="1291" t="s">
        <v>931</v>
      </c>
      <c r="G17" s="1158"/>
      <c r="H17" s="447"/>
      <c r="I17" s="1158"/>
      <c r="J17" s="447"/>
      <c r="K17" s="630"/>
      <c r="L17" s="1061"/>
      <c r="X17" s="1099">
        <v>0</v>
      </c>
    </row>
    <row s="21605" customFormat="1" customHeight="1" ht="33.75" hidden="1">
      <c r="A18" s="2733"/>
      <c r="B18" s="852"/>
      <c r="D18" s="1294" t="s">
        <v>448</v>
      </c>
      <c r="E18" s="1295" t="s">
        <v>932</v>
      </c>
      <c r="F18" s="1291" t="s">
        <v>683</v>
      </c>
      <c r="G18" s="1021"/>
      <c r="H18" s="447"/>
      <c r="I18" s="1021"/>
      <c r="J18" s="447"/>
      <c r="K18" s="630"/>
      <c r="L18" s="1061"/>
      <c r="X18" s="1099">
        <v>0</v>
      </c>
    </row>
    <row customHeight="1" ht="101.25" hidden="1">
      <c r="A19" s="2733"/>
      <c r="D19" s="1294" t="s">
        <v>91</v>
      </c>
      <c r="E19" s="620" t="s">
        <v>933</v>
      </c>
      <c r="F19" s="1001" t="s">
        <v>658</v>
      </c>
      <c r="G19" s="1004"/>
      <c r="H19" s="1003"/>
      <c r="I19" s="1296"/>
      <c r="J19" s="1003"/>
      <c r="K19" s="630" t="s">
        <v>934</v>
      </c>
      <c r="L19" s="1061"/>
      <c r="X19" s="846">
        <v>0</v>
      </c>
    </row>
    <row s="21605" customFormat="1" customHeight="1" ht="18.75" hidden="1">
      <c r="A20" s="2733"/>
      <c r="C20" s="1297"/>
      <c r="D20" s="1294" t="s">
        <v>865</v>
      </c>
      <c r="E20" s="1295" t="s">
        <v>935</v>
      </c>
      <c r="F20" s="1291" t="s">
        <v>420</v>
      </c>
      <c r="G20" s="1291" t="s">
        <v>420</v>
      </c>
      <c r="H20" s="1290" t="s">
        <v>420</v>
      </c>
      <c r="I20" s="1291" t="s">
        <v>420</v>
      </c>
      <c r="J20" s="1290" t="s">
        <v>420</v>
      </c>
      <c r="K20" s="1289"/>
      <c r="L20" s="1061"/>
      <c r="W20" s="1016"/>
      <c r="X20" s="1099">
        <v>0</v>
      </c>
    </row>
    <row s="21605" customFormat="1" customHeight="1" ht="33.75" hidden="1">
      <c r="A21" s="2733"/>
      <c r="C21" s="1297"/>
      <c r="D21" s="1294" t="s">
        <v>868</v>
      </c>
      <c r="E21" s="917" t="s">
        <v>936</v>
      </c>
      <c r="F21" s="1291" t="s">
        <v>937</v>
      </c>
      <c r="G21" s="1021"/>
      <c r="H21" s="447"/>
      <c r="I21" s="1021"/>
      <c r="J21" s="447"/>
      <c r="K21" s="1289"/>
      <c r="L21" s="1061"/>
      <c r="W21" s="1016"/>
      <c r="X21" s="1099">
        <v>0</v>
      </c>
    </row>
    <row s="21605" customFormat="1" customHeight="1" ht="33.75" hidden="1">
      <c r="A22" s="2733"/>
      <c r="C22" s="1297"/>
      <c r="D22" s="1294" t="s">
        <v>871</v>
      </c>
      <c r="E22" s="917" t="s">
        <v>938</v>
      </c>
      <c r="F22" s="1291" t="s">
        <v>939</v>
      </c>
      <c r="G22" s="1021"/>
      <c r="H22" s="447"/>
      <c r="I22" s="1021"/>
      <c r="J22" s="447"/>
      <c r="K22" s="1289"/>
      <c r="L22" s="1061"/>
      <c r="W22" s="1016"/>
      <c r="X22" s="1099">
        <v>0</v>
      </c>
    </row>
    <row s="21605" customFormat="1" customHeight="1" ht="22.5" hidden="1">
      <c r="A23" s="2733"/>
      <c r="C23" s="1297"/>
      <c r="D23" s="1294" t="s">
        <v>907</v>
      </c>
      <c r="E23" s="1295" t="s">
        <v>940</v>
      </c>
      <c r="F23" s="1291" t="s">
        <v>420</v>
      </c>
      <c r="G23" s="1291" t="s">
        <v>420</v>
      </c>
      <c r="H23" s="1290" t="s">
        <v>420</v>
      </c>
      <c r="I23" s="1291" t="s">
        <v>420</v>
      </c>
      <c r="J23" s="1290" t="s">
        <v>420</v>
      </c>
      <c r="K23" s="1289"/>
      <c r="L23" s="1061"/>
      <c r="W23" s="1016"/>
      <c r="X23" s="1099">
        <v>0</v>
      </c>
    </row>
    <row s="21605" customFormat="1" customHeight="1" ht="22.5" hidden="1">
      <c r="A24" s="2733"/>
      <c r="C24" s="1297"/>
      <c r="D24" s="1294" t="s">
        <v>941</v>
      </c>
      <c r="E24" s="917" t="s">
        <v>942</v>
      </c>
      <c r="F24" s="1291" t="s">
        <v>943</v>
      </c>
      <c r="G24" s="1021"/>
      <c r="H24" s="1027"/>
      <c r="I24" s="1021"/>
      <c r="J24" s="1027"/>
      <c r="K24" s="1289"/>
      <c r="L24" s="1061"/>
      <c r="W24" s="1016"/>
      <c r="X24" s="1099">
        <v>0</v>
      </c>
    </row>
    <row s="21605" customFormat="1" customHeight="1" ht="22.5" hidden="1">
      <c r="A25" s="2733"/>
      <c r="C25" s="1297"/>
      <c r="D25" s="1294" t="s">
        <v>944</v>
      </c>
      <c r="E25" s="917" t="s">
        <v>945</v>
      </c>
      <c r="F25" s="1291" t="s">
        <v>420</v>
      </c>
      <c r="G25" s="1291" t="s">
        <v>420</v>
      </c>
      <c r="H25" s="1290" t="s">
        <v>420</v>
      </c>
      <c r="I25" s="1291" t="s">
        <v>420</v>
      </c>
      <c r="J25" s="1290" t="s">
        <v>420</v>
      </c>
      <c r="K25" s="1289"/>
      <c r="L25" s="1061"/>
      <c r="W25" s="1016"/>
      <c r="X25" s="1099">
        <v>0</v>
      </c>
    </row>
    <row s="21605" customFormat="1" customHeight="1" ht="18.75" hidden="1">
      <c r="A26" s="2733"/>
      <c r="C26" s="1297"/>
      <c r="D26" s="1294" t="s">
        <v>946</v>
      </c>
      <c r="E26" s="894" t="s">
        <v>947</v>
      </c>
      <c r="F26" s="1291" t="s">
        <v>948</v>
      </c>
      <c r="G26" s="1021"/>
      <c r="H26" s="1027"/>
      <c r="I26" s="1021"/>
      <c r="J26" s="1027"/>
      <c r="K26" s="1289"/>
      <c r="L26" s="1061"/>
      <c r="W26" s="1016"/>
      <c r="X26" s="1099">
        <v>0</v>
      </c>
    </row>
    <row s="21605" customFormat="1" customHeight="1" ht="18.75" hidden="1">
      <c r="A27" s="2733"/>
      <c r="C27" s="1297"/>
      <c r="D27" s="1294" t="s">
        <v>949</v>
      </c>
      <c r="E27" s="894" t="s">
        <v>950</v>
      </c>
      <c r="F27" s="1291" t="s">
        <v>951</v>
      </c>
      <c r="G27" s="1021"/>
      <c r="H27" s="1027"/>
      <c r="I27" s="1021"/>
      <c r="J27" s="1027"/>
      <c r="K27" s="1289"/>
      <c r="L27" s="1061"/>
      <c r="W27" s="1016"/>
      <c r="X27" s="1099">
        <v>0</v>
      </c>
    </row>
    <row s="21605" customFormat="1" customHeight="1" ht="18.75" hidden="1">
      <c r="A28" s="2733"/>
      <c r="C28" s="1297"/>
      <c r="D28" s="1294" t="s">
        <v>952</v>
      </c>
      <c r="E28" s="917" t="s">
        <v>953</v>
      </c>
      <c r="F28" s="1291" t="s">
        <v>420</v>
      </c>
      <c r="G28" s="1291" t="s">
        <v>420</v>
      </c>
      <c r="H28" s="1290" t="s">
        <v>420</v>
      </c>
      <c r="I28" s="1291" t="s">
        <v>420</v>
      </c>
      <c r="J28" s="1290" t="s">
        <v>420</v>
      </c>
      <c r="K28" s="1289"/>
      <c r="L28" s="1061"/>
      <c r="W28" s="1016"/>
      <c r="X28" s="1099">
        <v>0</v>
      </c>
    </row>
    <row s="21605" customFormat="1" customHeight="1" ht="18.75" hidden="1">
      <c r="A29" s="2733"/>
      <c r="C29" s="1297"/>
      <c r="D29" s="1294" t="s">
        <v>954</v>
      </c>
      <c r="E29" s="894" t="s">
        <v>947</v>
      </c>
      <c r="F29" s="1291" t="s">
        <v>955</v>
      </c>
      <c r="G29" s="1021"/>
      <c r="H29" s="1027"/>
      <c r="I29" s="1021"/>
      <c r="J29" s="1027"/>
      <c r="K29" s="1289"/>
      <c r="L29" s="1061"/>
      <c r="W29" s="1016"/>
      <c r="X29" s="1099">
        <v>0</v>
      </c>
    </row>
    <row s="21605" customFormat="1" customHeight="1" ht="18.75" hidden="1">
      <c r="A30" s="2733"/>
      <c r="C30" s="1297"/>
      <c r="D30" s="1294" t="s">
        <v>956</v>
      </c>
      <c r="E30" s="894" t="s">
        <v>957</v>
      </c>
      <c r="F30" s="1291" t="s">
        <v>958</v>
      </c>
      <c r="G30" s="1021"/>
      <c r="H30" s="1027"/>
      <c r="I30" s="1021"/>
      <c r="J30" s="1027"/>
      <c r="K30" s="1289"/>
      <c r="L30" s="1061"/>
      <c r="W30" s="1016"/>
      <c r="X30" s="1099">
        <v>0</v>
      </c>
    </row>
    <row customHeight="1" ht="126.75" hidden="1">
      <c r="A31" s="2733"/>
      <c r="D31" s="1294" t="s">
        <v>116</v>
      </c>
      <c r="E31" s="620" t="s">
        <v>959</v>
      </c>
      <c r="F31" s="1001" t="s">
        <v>670</v>
      </c>
      <c r="G31" s="898"/>
      <c r="H31" s="1003"/>
      <c r="I31" s="898"/>
      <c r="J31" s="1003"/>
      <c r="K31" s="630" t="s">
        <v>960</v>
      </c>
      <c r="L31" s="1061"/>
      <c r="X31" s="846">
        <v>0</v>
      </c>
    </row>
    <row customHeight="1" ht="56.25" hidden="1">
      <c r="A32" s="2733"/>
      <c r="D32" s="1294" t="s">
        <v>92</v>
      </c>
      <c r="E32" s="620" t="s">
        <v>961</v>
      </c>
      <c r="F32" s="880" t="s">
        <v>931</v>
      </c>
      <c r="G32" s="898"/>
      <c r="H32" s="1003"/>
      <c r="I32" s="898"/>
      <c r="J32" s="1003"/>
      <c r="K32" s="630" t="s">
        <v>962</v>
      </c>
      <c r="L32" s="1061"/>
      <c r="X32" s="846">
        <v>0</v>
      </c>
    </row>
    <row customHeight="1" ht="11.25" hidden="1">
      <c r="A33" s="2733"/>
      <c r="E33" s="1005"/>
      <c r="F33" s="522"/>
      <c r="G33" s="522"/>
      <c r="H33" s="522"/>
      <c r="I33" s="522"/>
      <c r="J33" s="522"/>
      <c r="K33" s="522"/>
      <c r="X33" s="846">
        <v>0</v>
      </c>
    </row>
    <row customHeight="1" ht="12.75" hidden="1">
      <c r="A34" s="2733"/>
      <c r="D34" s="406">
        <v>1</v>
      </c>
      <c r="E34" s="676" t="s">
        <v>963</v>
      </c>
      <c r="X34" s="846">
        <v>0</v>
      </c>
    </row>
    <row customHeight="1" ht="11.25" hidden="1">
      <c r="A35" s="2733"/>
      <c r="D35" s="710"/>
      <c r="E35" s="676" t="s">
        <v>964</v>
      </c>
      <c r="X35" s="846">
        <v>0</v>
      </c>
    </row>
    <row s="21605" customFormat="1" customHeight="1" ht="11.549999999999999">
      <c r="A36" s="1374"/>
      <c r="B36" s="859"/>
      <c r="D36" s="1375"/>
      <c r="E36" s="1376"/>
      <c r="X36" s="850">
        <v>11</v>
      </c>
    </row>
    <row s="21605" customFormat="1" customHeight="1" ht="22.5">
      <c r="A37" s="2733" t="s">
        <v>965</v>
      </c>
      <c r="B37" s="852"/>
      <c r="D37" s="1294">
        <v>1</v>
      </c>
      <c r="E37" s="1048" t="s">
        <v>966</v>
      </c>
      <c r="F37" s="1001" t="s">
        <v>921</v>
      </c>
      <c r="G37" s="898"/>
      <c r="H37" s="860"/>
      <c r="I37" s="898"/>
      <c r="J37" s="860"/>
      <c r="K37" s="630" t="s">
        <v>967</v>
      </c>
      <c r="X37" s="1099">
        <v>0</v>
      </c>
    </row>
    <row s="21605" customFormat="1" customHeight="1" ht="22.5">
      <c r="A38" s="2733"/>
      <c r="B38" s="852"/>
      <c r="D38" s="1010" t="s">
        <v>103</v>
      </c>
      <c r="E38" s="1373" t="s">
        <v>968</v>
      </c>
      <c r="F38" s="1377" t="s">
        <v>658</v>
      </c>
      <c r="G38" s="1377" t="s">
        <v>658</v>
      </c>
      <c r="H38" s="1371"/>
      <c r="I38" s="1377" t="s">
        <v>658</v>
      </c>
      <c r="J38" s="1371"/>
      <c r="K38" s="1372"/>
      <c r="X38" s="1099">
        <v>0</v>
      </c>
    </row>
    <row s="21605" customFormat="1" customHeight="1" ht="33.75">
      <c r="A39" s="2733"/>
      <c r="B39" s="852"/>
      <c r="D39" s="1006" t="s">
        <v>823</v>
      </c>
      <c r="E39" s="1064" t="s">
        <v>969</v>
      </c>
      <c r="F39" s="1001" t="s">
        <v>970</v>
      </c>
      <c r="G39" s="1009"/>
      <c r="H39" s="1364"/>
      <c r="I39" s="1009"/>
      <c r="J39" s="1364"/>
      <c r="K39" s="630" t="s">
        <v>971</v>
      </c>
      <c r="X39" s="1099">
        <v>0</v>
      </c>
    </row>
    <row s="21605" customFormat="1" customHeight="1" ht="33.75">
      <c r="A40" s="2733"/>
      <c r="B40" s="852"/>
      <c r="D40" s="1006" t="s">
        <v>826</v>
      </c>
      <c r="E40" s="1064" t="s">
        <v>972</v>
      </c>
      <c r="F40" s="1368" t="s">
        <v>973</v>
      </c>
      <c r="G40" s="1082"/>
      <c r="H40" s="1364"/>
      <c r="I40" s="1082"/>
      <c r="J40" s="1364"/>
      <c r="K40" s="630" t="s">
        <v>974</v>
      </c>
      <c r="X40" s="1099">
        <v>0</v>
      </c>
    </row>
    <row s="21605" customFormat="1" customHeight="1" ht="22.5">
      <c r="A41" s="2733"/>
      <c r="B41" s="852"/>
      <c r="D41" s="1006" t="s">
        <v>90</v>
      </c>
      <c r="E41" s="1063" t="s">
        <v>975</v>
      </c>
      <c r="F41" s="1001" t="s">
        <v>658</v>
      </c>
      <c r="G41" s="1001" t="s">
        <v>658</v>
      </c>
      <c r="H41" s="1365"/>
      <c r="I41" s="1001" t="s">
        <v>658</v>
      </c>
      <c r="J41" s="1365"/>
      <c r="K41" s="643"/>
      <c r="X41" s="1099">
        <v>0</v>
      </c>
    </row>
    <row s="21605" customFormat="1" customHeight="1" ht="45">
      <c r="A42" s="2733"/>
      <c r="B42" s="852"/>
      <c r="D42" s="1006" t="s">
        <v>438</v>
      </c>
      <c r="E42" s="1064" t="s">
        <v>976</v>
      </c>
      <c r="F42" s="1001" t="s">
        <v>670</v>
      </c>
      <c r="G42" s="898"/>
      <c r="H42" s="1365"/>
      <c r="I42" s="898"/>
      <c r="J42" s="1365"/>
      <c r="K42" s="643" t="s">
        <v>977</v>
      </c>
      <c r="X42" s="1099">
        <v>0</v>
      </c>
    </row>
    <row s="21605" customFormat="1" customHeight="1" ht="45">
      <c r="A43" s="2733"/>
      <c r="B43" s="852"/>
      <c r="D43" s="1006" t="s">
        <v>446</v>
      </c>
      <c r="E43" s="1008" t="s">
        <v>978</v>
      </c>
      <c r="F43" s="1369" t="s">
        <v>670</v>
      </c>
      <c r="G43" s="1083"/>
      <c r="H43" s="1364"/>
      <c r="I43" s="1083"/>
      <c r="J43" s="1364"/>
      <c r="K43" s="643" t="s">
        <v>979</v>
      </c>
      <c r="X43" s="1099">
        <v>0</v>
      </c>
    </row>
    <row s="21605" customFormat="1" customHeight="1" ht="11.25">
      <c r="A44" s="2733"/>
      <c r="B44" s="852"/>
      <c r="D44" s="1006" t="s">
        <v>91</v>
      </c>
      <c r="E44" s="1007" t="s">
        <v>980</v>
      </c>
      <c r="F44" s="1001" t="s">
        <v>970</v>
      </c>
      <c r="G44" s="1009"/>
      <c r="H44" s="1364"/>
      <c r="I44" s="1009"/>
      <c r="J44" s="1364"/>
      <c r="K44" s="630"/>
      <c r="X44" s="1099">
        <v>0</v>
      </c>
    </row>
    <row s="21605" customFormat="1" customHeight="1" ht="11.25">
      <c r="A45" s="2733"/>
      <c r="B45" s="852"/>
      <c r="D45" s="1006" t="s">
        <v>865</v>
      </c>
      <c r="E45" s="1008" t="s">
        <v>981</v>
      </c>
      <c r="F45" s="1001" t="s">
        <v>970</v>
      </c>
      <c r="G45" s="1009"/>
      <c r="H45" s="1364"/>
      <c r="I45" s="1009"/>
      <c r="J45" s="1364"/>
      <c r="K45" s="630"/>
      <c r="X45" s="1099">
        <v>0</v>
      </c>
    </row>
    <row s="21605" customFormat="1" customHeight="1" ht="11.25">
      <c r="A46" s="2733"/>
      <c r="B46" s="852"/>
      <c r="D46" s="1006" t="s">
        <v>907</v>
      </c>
      <c r="E46" s="1008" t="s">
        <v>982</v>
      </c>
      <c r="F46" s="1001" t="s">
        <v>970</v>
      </c>
      <c r="G46" s="1009"/>
      <c r="H46" s="1364"/>
      <c r="I46" s="1009"/>
      <c r="J46" s="1364"/>
      <c r="K46" s="630"/>
      <c r="X46" s="1099">
        <v>0</v>
      </c>
    </row>
    <row s="21605" customFormat="1" customHeight="1" ht="11.25">
      <c r="A47" s="2733"/>
      <c r="B47" s="852"/>
      <c r="D47" s="1006" t="s">
        <v>910</v>
      </c>
      <c r="E47" s="1008" t="s">
        <v>983</v>
      </c>
      <c r="F47" s="1001" t="s">
        <v>970</v>
      </c>
      <c r="G47" s="1009"/>
      <c r="H47" s="1364"/>
      <c r="I47" s="1009"/>
      <c r="J47" s="1364"/>
      <c r="K47" s="630"/>
      <c r="X47" s="1099">
        <v>0</v>
      </c>
    </row>
    <row s="21605" customFormat="1" customHeight="1" ht="11.25">
      <c r="A48" s="2733"/>
      <c r="B48" s="852"/>
      <c r="D48" s="1006" t="s">
        <v>984</v>
      </c>
      <c r="E48" s="1012" t="s">
        <v>985</v>
      </c>
      <c r="F48" s="1001" t="s">
        <v>970</v>
      </c>
      <c r="G48" s="1009"/>
      <c r="H48" s="1364"/>
      <c r="I48" s="1009"/>
      <c r="J48" s="1364"/>
      <c r="K48" s="630"/>
      <c r="X48" s="1099">
        <v>0</v>
      </c>
    </row>
    <row s="21605" customFormat="1" customHeight="1" ht="11.25">
      <c r="A49" s="2733"/>
      <c r="B49" s="852"/>
      <c r="D49" s="1006" t="s">
        <v>986</v>
      </c>
      <c r="E49" s="1012" t="s">
        <v>987</v>
      </c>
      <c r="F49" s="1001" t="s">
        <v>970</v>
      </c>
      <c r="G49" s="1009"/>
      <c r="H49" s="1364"/>
      <c r="I49" s="1009"/>
      <c r="J49" s="1364"/>
      <c r="K49" s="630"/>
      <c r="X49" s="1099">
        <v>0</v>
      </c>
    </row>
    <row s="21605" customFormat="1" customHeight="1" ht="11.25">
      <c r="A50" s="2733"/>
      <c r="B50" s="852"/>
      <c r="D50" s="1006" t="s">
        <v>988</v>
      </c>
      <c r="E50" s="1008" t="s">
        <v>989</v>
      </c>
      <c r="F50" s="1001" t="s">
        <v>970</v>
      </c>
      <c r="G50" s="1009"/>
      <c r="H50" s="1364"/>
      <c r="I50" s="1009"/>
      <c r="J50" s="1364"/>
      <c r="K50" s="630"/>
      <c r="X50" s="1099">
        <v>0</v>
      </c>
    </row>
    <row s="21605" customFormat="1" customHeight="1" ht="11.25">
      <c r="A51" s="2733"/>
      <c r="B51" s="852"/>
      <c r="D51" s="1006" t="s">
        <v>990</v>
      </c>
      <c r="E51" s="1008" t="s">
        <v>991</v>
      </c>
      <c r="F51" s="1001" t="s">
        <v>970</v>
      </c>
      <c r="G51" s="1009"/>
      <c r="H51" s="1364"/>
      <c r="I51" s="1009"/>
      <c r="J51" s="1364"/>
      <c r="K51" s="630"/>
      <c r="X51" s="1099">
        <v>0</v>
      </c>
    </row>
    <row s="21605" customFormat="1" customHeight="1" ht="45">
      <c r="A52" s="2733"/>
      <c r="B52" s="852"/>
      <c r="D52" s="1006" t="s">
        <v>116</v>
      </c>
      <c r="E52" s="1007" t="s">
        <v>992</v>
      </c>
      <c r="F52" s="1001" t="s">
        <v>970</v>
      </c>
      <c r="G52" s="1009"/>
      <c r="H52" s="1364"/>
      <c r="I52" s="1009"/>
      <c r="J52" s="1364"/>
      <c r="K52" s="630"/>
      <c r="X52" s="1099">
        <v>0</v>
      </c>
    </row>
    <row s="21605" customFormat="1" customHeight="1" ht="11.25">
      <c r="A53" s="2733"/>
      <c r="B53" s="852"/>
      <c r="D53" s="1006" t="s">
        <v>427</v>
      </c>
      <c r="E53" s="1008" t="s">
        <v>981</v>
      </c>
      <c r="F53" s="1001" t="s">
        <v>970</v>
      </c>
      <c r="G53" s="1009"/>
      <c r="H53" s="1364"/>
      <c r="I53" s="1009"/>
      <c r="J53" s="1364"/>
      <c r="K53" s="630"/>
      <c r="X53" s="1099">
        <v>0</v>
      </c>
    </row>
    <row s="21605" customFormat="1" customHeight="1" ht="11.25">
      <c r="A54" s="2733"/>
      <c r="B54" s="852"/>
      <c r="D54" s="1006" t="s">
        <v>993</v>
      </c>
      <c r="E54" s="1008" t="s">
        <v>982</v>
      </c>
      <c r="F54" s="1001" t="s">
        <v>970</v>
      </c>
      <c r="G54" s="1009"/>
      <c r="H54" s="1364"/>
      <c r="I54" s="1009"/>
      <c r="J54" s="1364"/>
      <c r="K54" s="630"/>
      <c r="X54" s="1099">
        <v>0</v>
      </c>
    </row>
    <row s="21605" customFormat="1" customHeight="1" ht="11.25">
      <c r="A55" s="2733"/>
      <c r="B55" s="852"/>
      <c r="D55" s="1006" t="s">
        <v>994</v>
      </c>
      <c r="E55" s="1008" t="s">
        <v>983</v>
      </c>
      <c r="F55" s="1001" t="s">
        <v>970</v>
      </c>
      <c r="G55" s="1009"/>
      <c r="H55" s="1364"/>
      <c r="I55" s="1009"/>
      <c r="J55" s="1364"/>
      <c r="K55" s="630"/>
      <c r="X55" s="1099">
        <v>0</v>
      </c>
    </row>
    <row s="21605" customFormat="1" customHeight="1" ht="11.25">
      <c r="A56" s="2733"/>
      <c r="B56" s="852"/>
      <c r="D56" s="1006" t="s">
        <v>995</v>
      </c>
      <c r="E56" s="1012" t="s">
        <v>985</v>
      </c>
      <c r="F56" s="1001" t="s">
        <v>970</v>
      </c>
      <c r="G56" s="1009"/>
      <c r="H56" s="1364"/>
      <c r="I56" s="1009"/>
      <c r="J56" s="1364"/>
      <c r="K56" s="630"/>
      <c r="X56" s="1099">
        <v>0</v>
      </c>
    </row>
    <row s="21605" customFormat="1" customHeight="1" ht="11.25">
      <c r="A57" s="2733"/>
      <c r="B57" s="852"/>
      <c r="D57" s="1006" t="s">
        <v>996</v>
      </c>
      <c r="E57" s="1012" t="s">
        <v>987</v>
      </c>
      <c r="F57" s="1001" t="s">
        <v>970</v>
      </c>
      <c r="G57" s="1009"/>
      <c r="H57" s="1364"/>
      <c r="I57" s="1009"/>
      <c r="J57" s="1364"/>
      <c r="K57" s="630"/>
      <c r="X57" s="1099">
        <v>0</v>
      </c>
    </row>
    <row s="21605" customFormat="1" customHeight="1" ht="11.25">
      <c r="A58" s="2733"/>
      <c r="B58" s="852"/>
      <c r="D58" s="1006" t="s">
        <v>997</v>
      </c>
      <c r="E58" s="1008" t="s">
        <v>989</v>
      </c>
      <c r="F58" s="1001" t="s">
        <v>970</v>
      </c>
      <c r="G58" s="1009"/>
      <c r="H58" s="1364"/>
      <c r="I58" s="1009"/>
      <c r="J58" s="1364"/>
      <c r="K58" s="630"/>
      <c r="X58" s="1099">
        <v>0</v>
      </c>
    </row>
    <row s="21605" customFormat="1" customHeight="1" ht="11.25">
      <c r="A59" s="2733"/>
      <c r="B59" s="852"/>
      <c r="D59" s="1006" t="s">
        <v>998</v>
      </c>
      <c r="E59" s="1008" t="s">
        <v>991</v>
      </c>
      <c r="F59" s="1001" t="s">
        <v>970</v>
      </c>
      <c r="G59" s="1009"/>
      <c r="H59" s="1364"/>
      <c r="I59" s="1009"/>
      <c r="J59" s="1364"/>
      <c r="K59" s="630"/>
      <c r="X59" s="1099">
        <v>0</v>
      </c>
    </row>
    <row s="21605" customFormat="1" customHeight="1" ht="33.75">
      <c r="A60" s="2733"/>
      <c r="B60" s="852"/>
      <c r="D60" s="1006" t="s">
        <v>92</v>
      </c>
      <c r="E60" s="1007" t="s">
        <v>999</v>
      </c>
      <c r="F60" s="1062" t="s">
        <v>670</v>
      </c>
      <c r="G60" s="1083"/>
      <c r="H60" s="1364"/>
      <c r="I60" s="1083"/>
      <c r="J60" s="1364"/>
      <c r="K60" s="643" t="s">
        <v>1000</v>
      </c>
      <c r="X60" s="1099">
        <v>0</v>
      </c>
    </row>
    <row s="21605" customFormat="1" customHeight="1" ht="33.75">
      <c r="A61" s="2733"/>
      <c r="B61" s="852"/>
      <c r="D61" s="1006" t="s">
        <v>93</v>
      </c>
      <c r="E61" s="1007" t="s">
        <v>1001</v>
      </c>
      <c r="F61" s="1067" t="s">
        <v>931</v>
      </c>
      <c r="G61" s="1009"/>
      <c r="H61" s="1364"/>
      <c r="I61" s="1009"/>
      <c r="J61" s="1364"/>
      <c r="K61" s="630"/>
      <c r="X61" s="1099">
        <v>0</v>
      </c>
    </row>
    <row s="21605" customFormat="1" customHeight="1" ht="22.5">
      <c r="A62" s="2733"/>
      <c r="B62" s="852" t="s">
        <v>700</v>
      </c>
      <c r="D62" s="1006" t="s">
        <v>129</v>
      </c>
      <c r="E62" s="1007" t="s">
        <v>1002</v>
      </c>
      <c r="F62" s="1067" t="s">
        <v>420</v>
      </c>
      <c r="G62" s="723"/>
      <c r="H62" s="1364"/>
      <c r="I62" s="723"/>
      <c r="J62" s="1364"/>
      <c r="K62" s="630" t="s">
        <v>743</v>
      </c>
      <c r="X62" s="1099">
        <v>0</v>
      </c>
    </row>
    <row s="21605" customFormat="1" customHeight="1" ht="45">
      <c r="A63" s="2733"/>
      <c r="B63" s="852" t="s">
        <v>700</v>
      </c>
      <c r="D63" s="1006" t="s">
        <v>1003</v>
      </c>
      <c r="E63" s="1008" t="s">
        <v>1004</v>
      </c>
      <c r="F63" s="1062" t="s">
        <v>420</v>
      </c>
      <c r="G63" s="723"/>
      <c r="H63" s="1364"/>
      <c r="I63" s="723"/>
      <c r="J63" s="1364"/>
      <c r="K63" s="630" t="s">
        <v>743</v>
      </c>
      <c r="X63" s="1099">
        <v>0</v>
      </c>
    </row>
    <row s="21605" customFormat="1" customHeight="1" ht="11.549999999999999">
      <c r="A64" s="1374"/>
      <c r="B64" s="859"/>
      <c r="D64" s="1375"/>
      <c r="E64" s="1376"/>
      <c r="X64" s="850">
        <v>11</v>
      </c>
    </row>
    <row s="21605" customFormat="1" customHeight="1" ht="22.5" hidden="1">
      <c r="A65" s="2733" t="s">
        <v>1005</v>
      </c>
      <c r="B65" s="852"/>
      <c r="D65" s="1006">
        <v>1</v>
      </c>
      <c r="E65" s="1085" t="s">
        <v>1006</v>
      </c>
      <c r="F65" s="1081" t="s">
        <v>921</v>
      </c>
      <c r="G65" s="1082"/>
      <c r="H65" s="1370"/>
      <c r="I65" s="1082"/>
      <c r="J65" s="1370"/>
      <c r="K65" s="642" t="s">
        <v>1007</v>
      </c>
      <c r="X65" s="1099">
        <v>0</v>
      </c>
    </row>
    <row s="21605" customFormat="1" customHeight="1" ht="56.25" hidden="1">
      <c r="A66" s="2733"/>
      <c r="B66" s="852"/>
      <c r="D66" s="1084" t="s">
        <v>103</v>
      </c>
      <c r="E66" s="1048" t="s">
        <v>1008</v>
      </c>
      <c r="F66" s="1001" t="s">
        <v>658</v>
      </c>
      <c r="G66" s="1001" t="s">
        <v>658</v>
      </c>
      <c r="H66" s="860"/>
      <c r="I66" s="1001" t="s">
        <v>658</v>
      </c>
      <c r="J66" s="860"/>
      <c r="K66" s="630"/>
      <c r="X66" s="1099">
        <v>0</v>
      </c>
    </row>
    <row s="21605" customFormat="1" customHeight="1" ht="33.75" hidden="1">
      <c r="A67" s="2733"/>
      <c r="B67" s="852"/>
      <c r="D67" s="1084" t="s">
        <v>820</v>
      </c>
      <c r="E67" s="1295" t="s">
        <v>1009</v>
      </c>
      <c r="F67" s="1001" t="s">
        <v>973</v>
      </c>
      <c r="G67" s="1068"/>
      <c r="H67" s="860"/>
      <c r="I67" s="1068"/>
      <c r="J67" s="860"/>
      <c r="K67" s="630"/>
      <c r="X67" s="1099">
        <v>0</v>
      </c>
    </row>
    <row s="21605" customFormat="1" customHeight="1" ht="22.5" hidden="1">
      <c r="A68" s="2733"/>
      <c r="B68" s="852"/>
      <c r="D68" s="1084" t="s">
        <v>421</v>
      </c>
      <c r="E68" s="1295" t="s">
        <v>1010</v>
      </c>
      <c r="F68" s="1001" t="s">
        <v>973</v>
      </c>
      <c r="G68" s="1068"/>
      <c r="H68" s="860"/>
      <c r="I68" s="1068"/>
      <c r="J68" s="860"/>
      <c r="K68" s="630"/>
      <c r="X68" s="1099">
        <v>0</v>
      </c>
    </row>
    <row s="21605" customFormat="1" customHeight="1" ht="22.5" hidden="1">
      <c r="A69" s="2733"/>
      <c r="B69" s="852"/>
      <c r="D69" s="1084" t="s">
        <v>424</v>
      </c>
      <c r="E69" s="1295" t="s">
        <v>1011</v>
      </c>
      <c r="F69" s="1062" t="s">
        <v>670</v>
      </c>
      <c r="G69" s="1083"/>
      <c r="H69" s="860"/>
      <c r="I69" s="1083"/>
      <c r="J69" s="860"/>
      <c r="K69" s="630"/>
      <c r="X69" s="1099">
        <v>0</v>
      </c>
    </row>
    <row s="21605" customFormat="1" customHeight="1" ht="22.5" hidden="1">
      <c r="A70" s="2733"/>
      <c r="B70" s="852"/>
      <c r="D70" s="1084" t="s">
        <v>840</v>
      </c>
      <c r="E70" s="1295" t="s">
        <v>1012</v>
      </c>
      <c r="F70" s="1062" t="s">
        <v>670</v>
      </c>
      <c r="G70" s="1083"/>
      <c r="H70" s="860"/>
      <c r="I70" s="1083"/>
      <c r="J70" s="860"/>
      <c r="K70" s="630"/>
      <c r="X70" s="1099">
        <v>0</v>
      </c>
    </row>
    <row s="21605" customFormat="1" customHeight="1" ht="22.5" hidden="1">
      <c r="A71" s="2733"/>
      <c r="B71" s="852"/>
      <c r="D71" s="1006" t="s">
        <v>90</v>
      </c>
      <c r="E71" s="1007" t="s">
        <v>1013</v>
      </c>
      <c r="F71" s="1001" t="s">
        <v>973</v>
      </c>
      <c r="G71" s="898"/>
      <c r="H71" s="1371"/>
      <c r="I71" s="898"/>
      <c r="J71" s="1371"/>
      <c r="K71" s="643"/>
      <c r="X71" s="1099">
        <v>0</v>
      </c>
    </row>
    <row s="21605" customFormat="1" customHeight="1" ht="56.25" hidden="1">
      <c r="A72" s="2733"/>
      <c r="B72" s="852"/>
      <c r="D72" s="1006" t="s">
        <v>91</v>
      </c>
      <c r="E72" s="1007" t="s">
        <v>1014</v>
      </c>
      <c r="F72" s="1062" t="s">
        <v>670</v>
      </c>
      <c r="G72" s="1083"/>
      <c r="H72" s="1364"/>
      <c r="I72" s="1083"/>
      <c r="J72" s="1364"/>
      <c r="K72" s="643"/>
      <c r="X72" s="1099">
        <v>0</v>
      </c>
    </row>
    <row s="21605" customFormat="1" customHeight="1" ht="33.75" hidden="1">
      <c r="A73" s="2733"/>
      <c r="B73" s="852"/>
      <c r="D73" s="1006" t="s">
        <v>116</v>
      </c>
      <c r="E73" s="1007" t="s">
        <v>1015</v>
      </c>
      <c r="F73" s="1067" t="s">
        <v>931</v>
      </c>
      <c r="G73" s="1009"/>
      <c r="H73" s="1364"/>
      <c r="I73" s="1009"/>
      <c r="J73" s="1364"/>
      <c r="K73" s="630"/>
      <c r="X73" s="1099">
        <v>0</v>
      </c>
    </row>
    <row s="21605" customFormat="1" customHeight="1" ht="22.5" hidden="1">
      <c r="A74" s="2733"/>
      <c r="B74" s="852" t="s">
        <v>700</v>
      </c>
      <c r="D74" s="1006" t="s">
        <v>92</v>
      </c>
      <c r="E74" s="1007" t="s">
        <v>1016</v>
      </c>
      <c r="F74" s="1067" t="s">
        <v>420</v>
      </c>
      <c r="G74" s="723"/>
      <c r="H74" s="1364"/>
      <c r="I74" s="723"/>
      <c r="J74" s="1364"/>
      <c r="K74" s="630" t="s">
        <v>743</v>
      </c>
      <c r="X74" s="1099">
        <v>0</v>
      </c>
    </row>
    <row s="21605" customFormat="1" customHeight="1" ht="45" hidden="1">
      <c r="A75" s="2733"/>
      <c r="B75" s="852" t="s">
        <v>700</v>
      </c>
      <c r="D75" s="1006" t="s">
        <v>764</v>
      </c>
      <c r="E75" s="1008" t="s">
        <v>1017</v>
      </c>
      <c r="F75" s="1062" t="s">
        <v>420</v>
      </c>
      <c r="G75" s="723"/>
      <c r="H75" s="1364"/>
      <c r="I75" s="723"/>
      <c r="J75" s="1364"/>
      <c r="K75" s="630" t="s">
        <v>743</v>
      </c>
      <c r="X75" s="1099">
        <v>0</v>
      </c>
    </row>
    <row s="21605" customFormat="1" customHeight="1" ht="11.549999999999999">
      <c r="A76" s="1374"/>
      <c r="B76" s="859"/>
      <c r="D76" s="1375"/>
      <c r="E76" s="1376"/>
      <c r="X76" s="850">
        <v>11</v>
      </c>
    </row>
    <row s="21605" customFormat="1" customHeight="1" ht="11.25" hidden="1">
      <c r="A77" s="2733" t="s">
        <v>1018</v>
      </c>
      <c r="B77" s="852"/>
      <c r="D77" s="1006">
        <v>1</v>
      </c>
      <c r="E77" s="1007" t="s">
        <v>1019</v>
      </c>
      <c r="F77" s="1062" t="s">
        <v>921</v>
      </c>
      <c r="G77" s="1065"/>
      <c r="H77" s="1364"/>
      <c r="I77" s="1065"/>
      <c r="J77" s="1364"/>
      <c r="K77" s="630" t="s">
        <v>1020</v>
      </c>
      <c r="X77" s="1099">
        <v>0</v>
      </c>
    </row>
    <row s="21605" customFormat="1" customHeight="1" ht="11.25" hidden="1">
      <c r="A78" s="2733"/>
      <c r="B78" s="852"/>
      <c r="D78" s="1006" t="s">
        <v>103</v>
      </c>
      <c r="E78" s="1007" t="s">
        <v>1021</v>
      </c>
      <c r="F78" s="1062" t="s">
        <v>921</v>
      </c>
      <c r="G78" s="1065"/>
      <c r="H78" s="1364"/>
      <c r="I78" s="1065"/>
      <c r="J78" s="1364"/>
      <c r="K78" s="630" t="s">
        <v>1022</v>
      </c>
      <c r="X78" s="1099">
        <v>0</v>
      </c>
    </row>
    <row s="21605" customFormat="1" customHeight="1" ht="22.5" hidden="1">
      <c r="A79" s="2733"/>
      <c r="B79" s="852"/>
      <c r="D79" s="1006" t="s">
        <v>90</v>
      </c>
      <c r="E79" s="1063" t="s">
        <v>1023</v>
      </c>
      <c r="F79" s="1001" t="s">
        <v>970</v>
      </c>
      <c r="G79" s="1065"/>
      <c r="H79" s="1364"/>
      <c r="I79" s="1065"/>
      <c r="J79" s="1364"/>
      <c r="K79" s="630" t="s">
        <v>1024</v>
      </c>
      <c r="X79" s="1099">
        <v>0</v>
      </c>
    </row>
    <row s="21605" customFormat="1" customHeight="1" ht="11.25" hidden="1">
      <c r="A80" s="2733"/>
      <c r="B80" s="852"/>
      <c r="D80" s="1006" t="s">
        <v>438</v>
      </c>
      <c r="E80" s="1064" t="s">
        <v>1025</v>
      </c>
      <c r="F80" s="1001" t="s">
        <v>970</v>
      </c>
      <c r="G80" s="1065"/>
      <c r="H80" s="1364"/>
      <c r="I80" s="1065"/>
      <c r="J80" s="1364"/>
      <c r="K80" s="630"/>
      <c r="X80" s="1099">
        <v>0</v>
      </c>
    </row>
    <row s="21605" customFormat="1" customHeight="1" ht="11.25" hidden="1">
      <c r="A81" s="2733"/>
      <c r="B81" s="852"/>
      <c r="D81" s="1006" t="s">
        <v>446</v>
      </c>
      <c r="E81" s="1064" t="s">
        <v>1026</v>
      </c>
      <c r="F81" s="1001" t="s">
        <v>970</v>
      </c>
      <c r="G81" s="1065"/>
      <c r="H81" s="1364"/>
      <c r="I81" s="1065"/>
      <c r="J81" s="1364"/>
      <c r="K81" s="630"/>
      <c r="X81" s="1099">
        <v>0</v>
      </c>
    </row>
    <row s="21605" customFormat="1" customHeight="1" ht="11.25" hidden="1">
      <c r="A82" s="2733"/>
      <c r="B82" s="852"/>
      <c r="D82" s="1006" t="s">
        <v>448</v>
      </c>
      <c r="E82" s="1064" t="s">
        <v>1027</v>
      </c>
      <c r="F82" s="1001" t="s">
        <v>970</v>
      </c>
      <c r="G82" s="1065"/>
      <c r="H82" s="1364"/>
      <c r="I82" s="1065"/>
      <c r="J82" s="1364"/>
      <c r="K82" s="630"/>
      <c r="X82" s="1099">
        <v>0</v>
      </c>
    </row>
    <row s="21605" customFormat="1" customHeight="1" ht="11.25" hidden="1">
      <c r="A83" s="2733"/>
      <c r="B83" s="852"/>
      <c r="D83" s="1006" t="s">
        <v>450</v>
      </c>
      <c r="E83" s="1064" t="s">
        <v>1028</v>
      </c>
      <c r="F83" s="1001" t="s">
        <v>970</v>
      </c>
      <c r="G83" s="1065"/>
      <c r="H83" s="1364"/>
      <c r="I83" s="1065"/>
      <c r="J83" s="1364"/>
      <c r="K83" s="630"/>
      <c r="X83" s="1099">
        <v>0</v>
      </c>
    </row>
    <row s="21605" customFormat="1" customHeight="1" ht="11.25" hidden="1">
      <c r="A84" s="2733"/>
      <c r="B84" s="852"/>
      <c r="D84" s="1006" t="s">
        <v>1029</v>
      </c>
      <c r="E84" s="1064" t="s">
        <v>1030</v>
      </c>
      <c r="F84" s="1001" t="s">
        <v>970</v>
      </c>
      <c r="G84" s="1065"/>
      <c r="H84" s="1364"/>
      <c r="I84" s="1065"/>
      <c r="J84" s="1364"/>
      <c r="K84" s="630"/>
      <c r="X84" s="1099">
        <v>0</v>
      </c>
    </row>
    <row s="21605" customFormat="1" customHeight="1" ht="11.25" hidden="1">
      <c r="A85" s="2733"/>
      <c r="B85" s="852"/>
      <c r="D85" s="1006" t="s">
        <v>1031</v>
      </c>
      <c r="E85" s="1064" t="s">
        <v>1032</v>
      </c>
      <c r="F85" s="1001" t="s">
        <v>970</v>
      </c>
      <c r="G85" s="1065"/>
      <c r="H85" s="1364"/>
      <c r="I85" s="1065"/>
      <c r="J85" s="1364"/>
      <c r="K85" s="630"/>
      <c r="X85" s="1099">
        <v>0</v>
      </c>
    </row>
    <row s="21605" customFormat="1" customHeight="1" ht="11.25" hidden="1">
      <c r="A86" s="2733"/>
      <c r="B86" s="852"/>
      <c r="D86" s="1006" t="s">
        <v>1033</v>
      </c>
      <c r="E86" s="1064" t="s">
        <v>1034</v>
      </c>
      <c r="F86" s="1001" t="s">
        <v>970</v>
      </c>
      <c r="G86" s="1065"/>
      <c r="H86" s="1364"/>
      <c r="I86" s="1065"/>
      <c r="J86" s="1364"/>
      <c r="K86" s="630"/>
      <c r="X86" s="1099">
        <v>0</v>
      </c>
    </row>
    <row s="21605" customFormat="1" customHeight="1" ht="45" hidden="1">
      <c r="A87" s="2733"/>
      <c r="B87" s="852"/>
      <c r="D87" s="1006" t="s">
        <v>91</v>
      </c>
      <c r="E87" s="1007" t="s">
        <v>1035</v>
      </c>
      <c r="F87" s="1001" t="s">
        <v>970</v>
      </c>
      <c r="G87" s="1065"/>
      <c r="H87" s="1364"/>
      <c r="I87" s="1065"/>
      <c r="J87" s="1364"/>
      <c r="K87" s="630" t="s">
        <v>1036</v>
      </c>
      <c r="X87" s="1099">
        <v>0</v>
      </c>
    </row>
    <row s="21605" customFormat="1" customHeight="1" ht="11.25" hidden="1">
      <c r="A88" s="2733"/>
      <c r="B88" s="852"/>
      <c r="D88" s="1006" t="s">
        <v>865</v>
      </c>
      <c r="E88" s="1064" t="s">
        <v>1025</v>
      </c>
      <c r="F88" s="1001" t="s">
        <v>970</v>
      </c>
      <c r="G88" s="1065"/>
      <c r="H88" s="1364"/>
      <c r="I88" s="1065"/>
      <c r="J88" s="1364"/>
      <c r="K88" s="630"/>
      <c r="X88" s="1099">
        <v>0</v>
      </c>
    </row>
    <row s="21605" customFormat="1" customHeight="1" ht="11.25" hidden="1">
      <c r="A89" s="2733"/>
      <c r="B89" s="852"/>
      <c r="D89" s="1006" t="s">
        <v>907</v>
      </c>
      <c r="E89" s="1064" t="s">
        <v>1026</v>
      </c>
      <c r="F89" s="1001" t="s">
        <v>970</v>
      </c>
      <c r="G89" s="1065"/>
      <c r="H89" s="1364"/>
      <c r="I89" s="1065"/>
      <c r="J89" s="1364"/>
      <c r="K89" s="630"/>
      <c r="X89" s="1099">
        <v>0</v>
      </c>
    </row>
    <row s="21605" customFormat="1" customHeight="1" ht="11.25" hidden="1">
      <c r="A90" s="2733"/>
      <c r="B90" s="852"/>
      <c r="D90" s="1006" t="s">
        <v>910</v>
      </c>
      <c r="E90" s="1064" t="s">
        <v>1027</v>
      </c>
      <c r="F90" s="1001" t="s">
        <v>970</v>
      </c>
      <c r="G90" s="1065"/>
      <c r="H90" s="1364"/>
      <c r="I90" s="1065"/>
      <c r="J90" s="1364"/>
      <c r="K90" s="630"/>
      <c r="X90" s="1099">
        <v>0</v>
      </c>
    </row>
    <row s="21605" customFormat="1" customHeight="1" ht="11.25" hidden="1">
      <c r="A91" s="2733"/>
      <c r="B91" s="852"/>
      <c r="D91" s="1006" t="s">
        <v>988</v>
      </c>
      <c r="E91" s="1064" t="s">
        <v>1028</v>
      </c>
      <c r="F91" s="1001" t="s">
        <v>970</v>
      </c>
      <c r="G91" s="1065"/>
      <c r="H91" s="1364"/>
      <c r="I91" s="1065"/>
      <c r="J91" s="1364"/>
      <c r="K91" s="630"/>
      <c r="X91" s="1099">
        <v>0</v>
      </c>
    </row>
    <row s="21605" customFormat="1" customHeight="1" ht="11.25" hidden="1">
      <c r="A92" s="2733"/>
      <c r="B92" s="852"/>
      <c r="D92" s="1006" t="s">
        <v>990</v>
      </c>
      <c r="E92" s="1064" t="s">
        <v>1030</v>
      </c>
      <c r="F92" s="1001" t="s">
        <v>970</v>
      </c>
      <c r="G92" s="1065"/>
      <c r="H92" s="1364"/>
      <c r="I92" s="1065"/>
      <c r="J92" s="1364"/>
      <c r="K92" s="630"/>
      <c r="X92" s="1099">
        <v>0</v>
      </c>
    </row>
    <row s="21605" customFormat="1" customHeight="1" ht="11.25" hidden="1">
      <c r="A93" s="2733"/>
      <c r="B93" s="852"/>
      <c r="D93" s="1006" t="s">
        <v>1037</v>
      </c>
      <c r="E93" s="1064" t="s">
        <v>1032</v>
      </c>
      <c r="F93" s="1001" t="s">
        <v>970</v>
      </c>
      <c r="G93" s="1065"/>
      <c r="H93" s="1364"/>
      <c r="I93" s="1065"/>
      <c r="J93" s="1364"/>
      <c r="K93" s="630"/>
      <c r="X93" s="1099">
        <v>0</v>
      </c>
    </row>
    <row s="21605" customFormat="1" customHeight="1" ht="11.25" hidden="1">
      <c r="A94" s="2733"/>
      <c r="B94" s="852"/>
      <c r="D94" s="1006" t="s">
        <v>1038</v>
      </c>
      <c r="E94" s="1064" t="s">
        <v>1034</v>
      </c>
      <c r="F94" s="1001" t="s">
        <v>970</v>
      </c>
      <c r="G94" s="1065"/>
      <c r="H94" s="1364"/>
      <c r="I94" s="1065"/>
      <c r="J94" s="1364"/>
      <c r="K94" s="630"/>
      <c r="X94" s="1099">
        <v>0</v>
      </c>
    </row>
    <row s="21605" customFormat="1" customHeight="1" ht="24.75" hidden="1">
      <c r="A95" s="2733"/>
      <c r="B95" s="852"/>
      <c r="D95" s="1006" t="s">
        <v>116</v>
      </c>
      <c r="E95" s="1007" t="s">
        <v>1039</v>
      </c>
      <c r="F95" s="1066" t="s">
        <v>670</v>
      </c>
      <c r="G95" s="1068"/>
      <c r="H95" s="1364"/>
      <c r="I95" s="1068"/>
      <c r="J95" s="1364"/>
      <c r="K95" s="630" t="s">
        <v>1040</v>
      </c>
      <c r="X95" s="1099">
        <v>0</v>
      </c>
    </row>
    <row s="21605" customFormat="1" customHeight="1" ht="33.75" hidden="1">
      <c r="A96" s="2733"/>
      <c r="B96" s="852"/>
      <c r="D96" s="1006" t="s">
        <v>92</v>
      </c>
      <c r="E96" s="1007" t="s">
        <v>1041</v>
      </c>
      <c r="F96" s="1067" t="s">
        <v>931</v>
      </c>
      <c r="G96" s="1069"/>
      <c r="H96" s="1364"/>
      <c r="I96" s="1069"/>
      <c r="J96" s="1364"/>
      <c r="K96" s="630"/>
      <c r="X96" s="1099">
        <v>0</v>
      </c>
    </row>
    <row s="21605" customFormat="1" customHeight="1" ht="22.5" hidden="1">
      <c r="A97" s="2733"/>
      <c r="B97" s="852" t="s">
        <v>700</v>
      </c>
      <c r="D97" s="1006" t="s">
        <v>93</v>
      </c>
      <c r="E97" s="1007" t="s">
        <v>1042</v>
      </c>
      <c r="F97" s="1067" t="s">
        <v>420</v>
      </c>
      <c r="G97" s="726"/>
      <c r="H97" s="1364"/>
      <c r="I97" s="726"/>
      <c r="J97" s="1364"/>
      <c r="K97" s="630" t="s">
        <v>743</v>
      </c>
      <c r="X97" s="1099">
        <v>0</v>
      </c>
    </row>
    <row s="21605" customFormat="1" customHeight="1" ht="45" hidden="1">
      <c r="A98" s="2733"/>
      <c r="B98" s="852" t="s">
        <v>700</v>
      </c>
      <c r="D98" s="1006" t="s">
        <v>1043</v>
      </c>
      <c r="E98" s="1008" t="s">
        <v>1044</v>
      </c>
      <c r="F98" s="1062" t="s">
        <v>420</v>
      </c>
      <c r="G98" s="726"/>
      <c r="H98" s="1364"/>
      <c r="I98" s="726"/>
      <c r="J98" s="1364"/>
      <c r="K98" s="630" t="s">
        <v>743</v>
      </c>
      <c r="X98" s="1099">
        <v>0</v>
      </c>
    </row>
    <row s="21605" customFormat="1" customHeight="1" ht="95.25" hidden="1">
      <c r="A99" s="2733"/>
      <c r="B99" s="852" t="s">
        <v>700</v>
      </c>
      <c r="D99" s="1006" t="s">
        <v>129</v>
      </c>
      <c r="E99" s="1007" t="s">
        <v>1045</v>
      </c>
      <c r="F99" s="1062" t="s">
        <v>420</v>
      </c>
      <c r="G99" s="726"/>
      <c r="H99" s="1364"/>
      <c r="I99" s="726"/>
      <c r="J99" s="1364"/>
      <c r="K99" s="630" t="s">
        <v>743</v>
      </c>
      <c r="X99" s="1099">
        <v>0</v>
      </c>
    </row>
    <row s="21605" customFormat="1" customHeight="1" ht="22.5" hidden="1">
      <c r="A100" s="2733"/>
      <c r="B100" s="852" t="s">
        <v>700</v>
      </c>
      <c r="D100" s="1006" t="s">
        <v>134</v>
      </c>
      <c r="E100" s="1007" t="s">
        <v>1046</v>
      </c>
      <c r="F100" s="1062" t="s">
        <v>420</v>
      </c>
      <c r="G100" s="726"/>
      <c r="H100" s="1364"/>
      <c r="I100" s="726"/>
      <c r="J100" s="1364"/>
      <c r="K100" s="630" t="s">
        <v>743</v>
      </c>
      <c r="X100" s="1099">
        <v>0</v>
      </c>
    </row>
    <row s="21605" customFormat="1" customHeight="1" ht="11.549999999999999">
      <c r="A101" s="1374"/>
      <c r="B101" s="859"/>
      <c r="D101" s="1375"/>
      <c r="E101" s="1376"/>
      <c r="X101" s="850">
        <v>11</v>
      </c>
    </row>
    <row customHeight="1" ht="22.5" hidden="1">
      <c r="A102" s="877" t="s">
        <v>82</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0F58-D238-9443-3F8A-F0C719619BA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1569" width="9.140625" hidden="1" customWidth="1"/>
    <col min="2" max="2" style="21605" width="9.140625" hidden="1" customWidth="1"/>
    <col min="3" max="3" style="26776" width="4.00390625" customWidth="1"/>
    <col min="4" max="4" style="21605" width="6.00390625" customWidth="1"/>
    <col min="5" max="5" style="21605" width="36.00390625" customWidth="1"/>
    <col min="6" max="6" style="21605" width="9.00390625" customWidth="1"/>
    <col min="7" max="7" style="21605" width="25.7109375" hidden="1" customWidth="1"/>
    <col min="8" max="8" style="21605" width="33.7109375" hidden="1" customWidth="1"/>
    <col min="9" max="9" style="21605" width="25.7109375" customWidth="1"/>
    <col min="10" max="10" style="21605" width="33.00390625" customWidth="1"/>
    <col min="11" max="11" style="21687" width="93.00390625" customWidth="1"/>
    <col min="12" max="20" style="21605" width="10.00390625" customWidth="1"/>
    <col min="21" max="21" style="26777" width="10.00390625" customWidth="1"/>
    <col min="22" max="22" style="21605" width="10.57421875" hidden="1"/>
  </cols>
  <sheetData>
    <row s="21687" customFormat="1" customHeight="1" ht="22.5" hidden="1">
      <c r="C1" s="1013"/>
      <c r="G1" s="758">
        <v>4</v>
      </c>
      <c r="I1" s="758">
        <v>4</v>
      </c>
      <c r="U1" s="761"/>
      <c r="V1" s="758" t="s">
        <v>14</v>
      </c>
    </row>
    <row s="21687" customFormat="1" customHeight="1" ht="15" hidden="1">
      <c r="C2" s="1013"/>
      <c r="U2" s="761"/>
      <c r="V2" s="758">
        <v>0</v>
      </c>
    </row>
    <row customHeight="1" ht="22.5" hidden="1">
      <c r="A3" s="846"/>
      <c r="B3" s="2738"/>
      <c r="C3" s="2739" t="s">
        <v>104</v>
      </c>
      <c r="D3" s="1030" t="str">
        <f>B3&amp;".1"</f>
        <v>.1</v>
      </c>
      <c r="E3" s="1031" t="s">
        <v>1047</v>
      </c>
      <c r="F3" s="1032" t="s">
        <v>420</v>
      </c>
      <c r="G3" s="1027"/>
      <c r="H3" s="742"/>
      <c r="I3" s="1027"/>
      <c r="J3" s="742"/>
      <c r="K3" s="630" t="s">
        <v>1048</v>
      </c>
      <c r="V3" s="846">
        <v>0</v>
      </c>
    </row>
    <row customHeight="1" ht="15" hidden="1">
      <c r="A4" s="846"/>
      <c r="B4" s="2738"/>
      <c r="C4" s="2739"/>
      <c r="D4" s="1030" t="str">
        <f>B3&amp;".2"</f>
        <v>.2</v>
      </c>
      <c r="E4" s="1031" t="s">
        <v>1049</v>
      </c>
      <c r="F4" s="1032" t="s">
        <v>420</v>
      </c>
      <c r="G4" s="2079" t="s">
        <v>28</v>
      </c>
      <c r="H4" s="742"/>
      <c r="I4" s="2079" t="s">
        <v>28</v>
      </c>
      <c r="J4" s="742"/>
      <c r="K4" s="630" t="s">
        <v>1050</v>
      </c>
      <c r="V4" s="846">
        <v>0</v>
      </c>
    </row>
    <row s="21687" customFormat="1" customHeight="1" ht="15" hidden="1">
      <c r="C5" s="1013"/>
      <c r="U5" s="761"/>
      <c r="V5" s="758">
        <v>0</v>
      </c>
    </row>
    <row customHeight="1" ht="22.5" hidden="1">
      <c r="A6" s="846"/>
      <c r="B6" s="2738"/>
      <c r="C6" s="2739" t="s">
        <v>104</v>
      </c>
      <c r="D6" s="1030" t="str">
        <f>B6&amp;".1"</f>
        <v>.1</v>
      </c>
      <c r="E6" s="1031" t="s">
        <v>1051</v>
      </c>
      <c r="F6" s="1032" t="s">
        <v>420</v>
      </c>
      <c r="G6" s="1027"/>
      <c r="H6" s="742"/>
      <c r="I6" s="1027"/>
      <c r="J6" s="742"/>
      <c r="K6" s="630" t="s">
        <v>1052</v>
      </c>
      <c r="V6" s="846">
        <v>0</v>
      </c>
    </row>
    <row customHeight="1" ht="15" hidden="1">
      <c r="A7" s="846"/>
      <c r="B7" s="2738"/>
      <c r="C7" s="2739"/>
      <c r="D7" s="1030" t="str">
        <f>B6&amp;".2"</f>
        <v>.2</v>
      </c>
      <c r="E7" s="1031" t="s">
        <v>1049</v>
      </c>
      <c r="F7" s="1032" t="s">
        <v>420</v>
      </c>
      <c r="G7" s="2079" t="s">
        <v>28</v>
      </c>
      <c r="H7" s="742"/>
      <c r="I7" s="2079" t="s">
        <v>28</v>
      </c>
      <c r="J7" s="742"/>
      <c r="K7" s="630" t="s">
        <v>1050</v>
      </c>
      <c r="V7" s="846">
        <v>0</v>
      </c>
    </row>
    <row s="21687" customFormat="1" customHeight="1" ht="15" hidden="1">
      <c r="C8" s="1013"/>
      <c r="U8" s="761"/>
      <c r="V8" s="758">
        <v>0</v>
      </c>
    </row>
    <row customHeight="1" ht="22.5" hidden="1">
      <c r="A9" s="846"/>
      <c r="B9" s="2738"/>
      <c r="C9" s="2739" t="s">
        <v>104</v>
      </c>
      <c r="D9" s="1030" t="str">
        <f>B9&amp;".1"</f>
        <v>.1</v>
      </c>
      <c r="E9" s="1031" t="s">
        <v>1053</v>
      </c>
      <c r="F9" s="1032" t="s">
        <v>420</v>
      </c>
      <c r="G9" s="1038" t="s">
        <v>28</v>
      </c>
      <c r="H9" s="742" t="s">
        <v>28</v>
      </c>
      <c r="I9" s="1038" t="s">
        <v>28</v>
      </c>
      <c r="J9" s="742" t="s">
        <v>28</v>
      </c>
      <c r="K9" s="630"/>
      <c r="V9" s="846">
        <v>0</v>
      </c>
    </row>
    <row customHeight="1" ht="15" hidden="1">
      <c r="A10" s="846"/>
      <c r="B10" s="2738"/>
      <c r="C10" s="2739"/>
      <c r="D10" s="1030" t="str">
        <f>B9&amp;".2"</f>
        <v>.2</v>
      </c>
      <c r="E10" s="1031" t="s">
        <v>1054</v>
      </c>
      <c r="F10" s="1032" t="s">
        <v>420</v>
      </c>
      <c r="G10" s="2073" t="s">
        <v>28</v>
      </c>
      <c r="H10" s="742" t="s">
        <v>28</v>
      </c>
      <c r="I10" s="2073" t="s">
        <v>28</v>
      </c>
      <c r="J10" s="742" t="s">
        <v>28</v>
      </c>
      <c r="K10" s="630" t="s">
        <v>1055</v>
      </c>
      <c r="V10" s="846">
        <v>0</v>
      </c>
    </row>
    <row customHeight="1" ht="15" hidden="1">
      <c r="A11" s="846"/>
      <c r="B11" s="2738"/>
      <c r="C11" s="2739"/>
      <c r="D11" s="1030" t="str">
        <f>B9&amp;".3"</f>
        <v>.3</v>
      </c>
      <c r="E11" s="1031" t="s">
        <v>1056</v>
      </c>
      <c r="F11" s="1032" t="s">
        <v>420</v>
      </c>
      <c r="G11" s="2073" t="s">
        <v>28</v>
      </c>
      <c r="H11" s="742" t="s">
        <v>28</v>
      </c>
      <c r="I11" s="2073" t="s">
        <v>28</v>
      </c>
      <c r="J11" s="742" t="s">
        <v>28</v>
      </c>
      <c r="K11" s="630" t="s">
        <v>1057</v>
      </c>
      <c r="V11" s="846">
        <v>0</v>
      </c>
    </row>
    <row s="21687" customFormat="1" customHeight="1" ht="15" hidden="1">
      <c r="C12" s="1013"/>
      <c r="U12" s="761"/>
      <c r="V12" s="758">
        <v>0</v>
      </c>
    </row>
    <row customHeight="1" ht="33.75" hidden="1">
      <c r="A13" s="846"/>
      <c r="B13" s="2738"/>
      <c r="C13" s="2739" t="s">
        <v>104</v>
      </c>
      <c r="D13" s="1030" t="str">
        <f>B13&amp;".1"</f>
        <v>.1</v>
      </c>
      <c r="E13" s="1031" t="s">
        <v>1058</v>
      </c>
      <c r="F13" s="1032" t="s">
        <v>420</v>
      </c>
      <c r="G13" s="1038" t="s">
        <v>28</v>
      </c>
      <c r="H13" s="742" t="s">
        <v>28</v>
      </c>
      <c r="I13" s="1038" t="s">
        <v>28</v>
      </c>
      <c r="J13" s="742" t="s">
        <v>28</v>
      </c>
      <c r="K13" s="630" t="s">
        <v>1059</v>
      </c>
      <c r="V13" s="846">
        <v>0</v>
      </c>
    </row>
    <row customHeight="1" ht="15" hidden="1">
      <c r="B14" s="2738"/>
      <c r="C14" s="2739"/>
      <c r="D14" s="1030" t="str">
        <f>B13&amp;".2"</f>
        <v>.2</v>
      </c>
      <c r="E14" s="1031" t="s">
        <v>1060</v>
      </c>
      <c r="F14" s="1032" t="s">
        <v>420</v>
      </c>
      <c r="G14" s="2073" t="s">
        <v>28</v>
      </c>
      <c r="H14" s="742" t="s">
        <v>28</v>
      </c>
      <c r="I14" s="2073" t="s">
        <v>28</v>
      </c>
      <c r="J14" s="742" t="s">
        <v>28</v>
      </c>
      <c r="K14" s="630" t="s">
        <v>1061</v>
      </c>
      <c r="V14" s="846">
        <v>0</v>
      </c>
    </row>
    <row s="21687" customFormat="1" customHeight="1" ht="15" hidden="1">
      <c r="C15" s="1013"/>
      <c r="U15" s="761"/>
      <c r="V15" s="758">
        <v>0</v>
      </c>
    </row>
    <row s="21687" customFormat="1" customHeight="1" ht="15" hidden="1">
      <c r="C16" s="1013"/>
      <c r="U16" s="761"/>
      <c r="V16" s="758">
        <v>0</v>
      </c>
    </row>
    <row s="21687" customFormat="1" customHeight="1" ht="15" hidden="1">
      <c r="C17" s="1013"/>
      <c r="U17" s="761"/>
      <c r="V17" s="758">
        <v>0</v>
      </c>
    </row>
    <row s="21687" customFormat="1" customHeight="1" ht="15" hidden="1">
      <c r="C18" s="1013"/>
      <c r="U18" s="761"/>
      <c r="V18" s="758">
        <v>0</v>
      </c>
    </row>
    <row s="21687" customFormat="1" customHeight="1" ht="15" hidden="1">
      <c r="C19" s="1013"/>
      <c r="U19" s="761"/>
      <c r="V19" s="758">
        <v>0</v>
      </c>
    </row>
    <row s="21687"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78"/>
      <c r="F22" s="2578"/>
      <c r="G22" s="2578"/>
      <c r="H22" s="2578"/>
      <c r="I22" s="2578"/>
      <c r="J22" s="1017"/>
      <c r="K22" s="878"/>
      <c r="V22" s="846">
        <v>22</v>
      </c>
    </row>
    <row customHeight="1" ht="15.75">
      <c r="C23" s="517"/>
      <c r="D23" s="2517" t="str">
        <f>IF(org=0,"Не определено",org)</f>
        <v>КГУП "Примтеплоэнерго"</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21605" customFormat="1" customHeight="1" ht="1.05">
      <c r="A25" s="1100"/>
      <c r="C25" s="517"/>
      <c r="D25" s="850"/>
      <c r="E25" s="850"/>
      <c r="F25" s="850"/>
      <c r="G25" s="878"/>
      <c r="H25" s="1093"/>
      <c r="I25" s="878" t="s">
        <v>158</v>
      </c>
      <c r="J25" s="1093"/>
      <c r="K25" s="758"/>
      <c r="U25" s="1016"/>
      <c r="V25" s="1099">
        <v>1</v>
      </c>
    </row>
    <row customHeight="1" ht="15.75">
      <c r="C26" s="517"/>
      <c r="D26" s="1052"/>
      <c r="E26" s="2708" t="s">
        <v>150</v>
      </c>
      <c r="F26" s="2709"/>
      <c r="G26" s="2736" t="str">
        <f>IF(G25="","",INDEX(DIFFERENTIATION_UNMERGE_VD,MATCH(G25,DIFFERENTIATION_ID_DIFF,0)))</f>
        <v/>
      </c>
      <c r="H26" s="2737"/>
      <c r="I26" s="2736">
        <f>IF(I25="","",INDEX(DIFFERENTIATION_UNMERGE_VD,MATCH(I25,DIFFERENTIATION_ID_DIFF,0)))</f>
        <v>0</v>
      </c>
      <c r="J26" s="2737"/>
      <c r="K26" s="2516" t="s">
        <v>415</v>
      </c>
      <c r="V26" s="846">
        <v>15</v>
      </c>
    </row>
    <row s="21605" customFormat="1" customHeight="1" ht="15.75">
      <c r="A27" s="1100"/>
      <c r="C27" s="517"/>
      <c r="D27" s="1052"/>
      <c r="E27" s="2708" t="s">
        <v>676</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21605" customFormat="1" customHeight="1" ht="15.75">
      <c r="A28" s="1100"/>
      <c r="C28" s="517"/>
      <c r="D28" s="1052"/>
      <c r="E28" s="2708" t="s">
        <v>677</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21605" customFormat="1" customHeight="1" ht="15.75">
      <c r="A29" s="1100"/>
      <c r="C29" s="517"/>
      <c r="D29" s="2710" t="s">
        <v>414</v>
      </c>
      <c r="E29" s="2711"/>
      <c r="F29" s="2711"/>
      <c r="G29" s="1228"/>
      <c r="H29" s="1228"/>
      <c r="I29" s="1228"/>
      <c r="J29" s="1229"/>
      <c r="K29" s="2536"/>
      <c r="U29" s="1016"/>
      <c r="V29" s="1099">
        <v>15</v>
      </c>
    </row>
    <row customHeight="1" ht="35.699999999999996">
      <c r="C30" s="517"/>
      <c r="D30" s="1102" t="s">
        <v>88</v>
      </c>
      <c r="E30" s="1101" t="s">
        <v>416</v>
      </c>
      <c r="F30" s="1101" t="s">
        <v>678</v>
      </c>
      <c r="G30" s="1149" t="s">
        <v>417</v>
      </c>
      <c r="H30" s="1148" t="s">
        <v>504</v>
      </c>
      <c r="I30" s="1025" t="s">
        <v>417</v>
      </c>
      <c r="J30" s="806" t="s">
        <v>504</v>
      </c>
      <c r="K30" s="2542"/>
      <c r="V30" s="846">
        <v>34</v>
      </c>
    </row>
    <row customHeight="1" ht="15" hidden="1">
      <c r="C31" s="517"/>
      <c r="D31" s="934"/>
      <c r="E31" s="934"/>
      <c r="F31" s="934"/>
      <c r="G31" s="1000"/>
      <c r="H31" s="1000"/>
      <c r="I31" s="1000"/>
      <c r="J31" s="1000"/>
      <c r="K31" s="630"/>
      <c r="V31" s="846">
        <v>0</v>
      </c>
    </row>
    <row customHeight="1" ht="24">
      <c r="A32" s="846"/>
      <c r="B32" s="846" t="s">
        <v>1062</v>
      </c>
      <c r="C32" s="867"/>
      <c r="D32" s="1033">
        <v>1</v>
      </c>
      <c r="E32" s="1034" t="s">
        <v>1063</v>
      </c>
      <c r="F32" s="1032" t="s">
        <v>420</v>
      </c>
      <c r="G32" s="1154" t="s">
        <v>420</v>
      </c>
      <c r="H32" s="1154" t="s">
        <v>420</v>
      </c>
      <c r="I32" s="1032" t="s">
        <v>420</v>
      </c>
      <c r="J32" s="1032" t="s">
        <v>420</v>
      </c>
      <c r="K32" s="630"/>
      <c r="V32" s="846">
        <v>23</v>
      </c>
    </row>
    <row customHeight="1" ht="11.549999999999999">
      <c r="A33" s="846"/>
      <c r="C33" s="846"/>
      <c r="D33" s="688"/>
      <c r="E33" s="921" t="s">
        <v>698</v>
      </c>
      <c r="F33" s="913"/>
      <c r="G33" s="913"/>
      <c r="H33" s="913"/>
      <c r="I33" s="913"/>
      <c r="J33" s="913"/>
      <c r="K33" s="914"/>
      <c r="U33" s="846"/>
      <c r="V33" s="846">
        <v>11</v>
      </c>
    </row>
    <row customHeight="1" ht="24">
      <c r="A34" s="846"/>
      <c r="B34" s="922" t="s">
        <v>748</v>
      </c>
      <c r="C34" s="867"/>
      <c r="D34" s="1033">
        <v>2</v>
      </c>
      <c r="E34" s="1034" t="s">
        <v>1064</v>
      </c>
      <c r="F34" s="1161" t="s">
        <v>420</v>
      </c>
      <c r="G34" s="1161" t="s">
        <v>420</v>
      </c>
      <c r="H34" s="1161" t="s">
        <v>420</v>
      </c>
      <c r="I34" s="1032"/>
      <c r="J34" s="1032"/>
      <c r="K34" s="630"/>
      <c r="V34" s="846">
        <v>23</v>
      </c>
    </row>
    <row customHeight="1" ht="11.549999999999999">
      <c r="A35" s="846"/>
      <c r="C35" s="846"/>
      <c r="D35" s="688"/>
      <c r="E35" s="921" t="s">
        <v>1065</v>
      </c>
      <c r="F35" s="913"/>
      <c r="G35" s="1035"/>
      <c r="H35" s="913"/>
      <c r="I35" s="1035"/>
      <c r="J35" s="913"/>
      <c r="K35" s="914"/>
      <c r="U35" s="846"/>
      <c r="V35" s="846">
        <v>11</v>
      </c>
    </row>
    <row customHeight="1" ht="71.25">
      <c r="A36" s="846"/>
      <c r="B36" s="846" t="s">
        <v>1066</v>
      </c>
      <c r="C36" s="867"/>
      <c r="D36" s="1033">
        <v>3</v>
      </c>
      <c r="E36" s="1034" t="s">
        <v>1067</v>
      </c>
      <c r="F36" s="1036" t="s">
        <v>420</v>
      </c>
      <c r="G36" s="1155" t="s">
        <v>1068</v>
      </c>
      <c r="H36" s="1154" t="s">
        <v>420</v>
      </c>
      <c r="I36" s="865" t="s">
        <v>1068</v>
      </c>
      <c r="J36" s="1032" t="s">
        <v>420</v>
      </c>
      <c r="K36" s="630" t="s">
        <v>1069</v>
      </c>
      <c r="V36" s="846">
        <v>68</v>
      </c>
    </row>
    <row customHeight="1" ht="11.549999999999999">
      <c r="A37" s="846"/>
      <c r="C37" s="846"/>
      <c r="D37" s="688"/>
      <c r="E37" s="921" t="s">
        <v>1070</v>
      </c>
      <c r="F37" s="913"/>
      <c r="G37" s="1035"/>
      <c r="H37" s="1035"/>
      <c r="I37" s="1035"/>
      <c r="J37" s="1035"/>
      <c r="K37" s="914"/>
      <c r="U37" s="846"/>
      <c r="V37" s="846">
        <v>11</v>
      </c>
    </row>
    <row customHeight="1" ht="71.25">
      <c r="A38" s="846"/>
      <c r="B38" s="846" t="s">
        <v>1071</v>
      </c>
      <c r="C38" s="867"/>
      <c r="D38" s="1033">
        <v>4</v>
      </c>
      <c r="E38" s="1034" t="s">
        <v>1072</v>
      </c>
      <c r="F38" s="1036" t="s">
        <v>420</v>
      </c>
      <c r="G38" s="1155" t="s">
        <v>1068</v>
      </c>
      <c r="H38" s="1156" t="s">
        <v>420</v>
      </c>
      <c r="I38" s="865" t="s">
        <v>1068</v>
      </c>
      <c r="J38" s="862" t="s">
        <v>420</v>
      </c>
      <c r="K38" s="1020" t="s">
        <v>1073</v>
      </c>
      <c r="V38" s="846">
        <v>68</v>
      </c>
    </row>
    <row customHeight="1" ht="11.549999999999999">
      <c r="A39" s="846"/>
      <c r="C39" s="846"/>
      <c r="D39" s="688"/>
      <c r="E39" s="921" t="s">
        <v>1074</v>
      </c>
      <c r="F39" s="913"/>
      <c r="G39" s="913"/>
      <c r="H39" s="1037"/>
      <c r="I39" s="913"/>
      <c r="J39" s="1037"/>
      <c r="K39" s="914"/>
      <c r="U39" s="846"/>
      <c r="V39" s="846">
        <v>11</v>
      </c>
    </row>
    <row customHeight="1" ht="22.5" hidden="1">
      <c r="A40" s="790" t="s">
        <v>82</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E3B4D-BF65-16E1-D1D9-A1FCAA4D882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6747" width="6.7109375" hidden="1" customWidth="1"/>
    <col min="4" max="4" style="21687" width="6.7109375" hidden="1" customWidth="1"/>
    <col min="5" max="5" style="21605" width="3.00390625" customWidth="1"/>
    <col min="6" max="6" style="21605" width="6.00390625" customWidth="1"/>
    <col min="7" max="7" style="21605" width="37.00390625" customWidth="1"/>
    <col min="8" max="8" style="21605" width="16.00390625" customWidth="1"/>
    <col min="9" max="10" style="21605" width="19.00390625" customWidth="1"/>
    <col min="11" max="11" style="21605" width="24.00390625" customWidth="1"/>
    <col min="12" max="13" style="21605" width="25.00390625" customWidth="1"/>
    <col min="14" max="16" style="21605" width="17.00390625" customWidth="1"/>
    <col min="17" max="24" style="21605" width="19.00390625" customWidth="1"/>
    <col min="25" max="25" style="21605" width="7.00390625" customWidth="1"/>
    <col min="26" max="26" style="21605" width="3.00390625" customWidth="1"/>
    <col min="27" max="27" style="21605" width="6.00390625" customWidth="1"/>
    <col min="28" max="28" style="21605" width="34.00390625" customWidth="1"/>
    <col min="29" max="30" style="21605" width="8.00390625" customWidth="1"/>
    <col min="31" max="31" style="21605" width="9.140625" hidden="1"/>
  </cols>
  <sheetData>
    <row s="21687" customFormat="1" customHeight="1" ht="10.5" hidden="1">
      <c r="A1" s="1236"/>
      <c r="B1" s="1236"/>
      <c r="C1" s="1236"/>
      <c r="E1" s="878"/>
      <c r="H1" s="1501"/>
      <c r="AE1" s="758" t="s">
        <v>14</v>
      </c>
    </row>
    <row customHeight="1" ht="10.5" hidden="1">
      <c r="AE2" s="1099">
        <v>0</v>
      </c>
    </row>
    <row s="21569" customFormat="1" customHeight="1" ht="10.5" hidden="1">
      <c r="A3" s="1236"/>
      <c r="B3" s="1236"/>
      <c r="C3" s="1236"/>
      <c r="D3" s="758"/>
      <c r="E3" s="703"/>
      <c r="G3" s="1973" t="s">
        <v>1075</v>
      </c>
      <c r="H3" s="1497"/>
      <c r="AE3" s="1100">
        <v>0</v>
      </c>
    </row>
    <row customHeight="1" ht="3">
      <c r="AE4" s="1099">
        <v>3</v>
      </c>
    </row>
    <row customHeight="1" ht="27.299999999999997">
      <c r="F5" s="2589" t="str">
        <f>IP_NAME_FORM</f>
        <v>Форма 7. Информация об инвестиционных программах организации холодного водоснабжения и отчетах об их исполнении</v>
      </c>
      <c r="G5" s="2589"/>
      <c r="H5" s="2589"/>
      <c r="I5" s="2589"/>
      <c r="J5" s="2589"/>
      <c r="K5" s="2589"/>
      <c r="M5" s="923"/>
      <c r="AB5" s="1247"/>
      <c r="AE5" s="1099">
        <v>26</v>
      </c>
    </row>
    <row s="21605" customFormat="1" customHeight="1" ht="16.8">
      <c r="A6" s="1507"/>
      <c r="B6" s="1507"/>
      <c r="C6" s="1507"/>
      <c r="D6" s="1501"/>
      <c r="E6" s="1976"/>
      <c r="F6" s="2590" t="str">
        <f>IF(org=0,"Не определено",org)</f>
        <v>КГУП "Примтеплоэнерго"</v>
      </c>
      <c r="G6" s="2590"/>
      <c r="H6" s="2590"/>
      <c r="I6" s="2590"/>
      <c r="J6" s="2590"/>
      <c r="K6" s="2590"/>
      <c r="M6" s="923"/>
      <c r="AB6" s="1489"/>
      <c r="AE6" s="1972">
        <v>16</v>
      </c>
    </row>
    <row customHeight="1" ht="10.5">
      <c r="AE7" s="1099">
        <v>10</v>
      </c>
    </row>
    <row customHeight="1" ht="10.5">
      <c r="A8" s="1392"/>
      <c r="B8" s="1392"/>
      <c r="C8" s="1392"/>
      <c r="F8" s="2442" t="s">
        <v>414</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1075</v>
      </c>
      <c r="H9" s="2516" t="s">
        <v>1076</v>
      </c>
      <c r="I9" s="2468" t="s">
        <v>1077</v>
      </c>
      <c r="J9" s="2468" t="s">
        <v>1078</v>
      </c>
      <c r="K9" s="2468" t="s">
        <v>1079</v>
      </c>
      <c r="L9" s="2468" t="s">
        <v>1080</v>
      </c>
      <c r="M9" s="2468" t="s">
        <v>1081</v>
      </c>
      <c r="N9" s="2550" t="s">
        <v>1082</v>
      </c>
      <c r="O9" s="2550"/>
      <c r="P9" s="2550"/>
      <c r="Q9" s="2740" t="s">
        <v>1083</v>
      </c>
      <c r="R9" s="2741"/>
      <c r="S9" s="2741"/>
      <c r="T9" s="2742"/>
      <c r="U9" s="2740" t="s">
        <v>1084</v>
      </c>
      <c r="V9" s="2741"/>
      <c r="W9" s="2741"/>
      <c r="X9" s="2742"/>
      <c r="Y9" s="2442" t="s">
        <v>1085</v>
      </c>
      <c r="Z9" s="2443"/>
      <c r="AA9" s="2443"/>
      <c r="AB9" s="2444"/>
      <c r="AE9" s="1099">
        <v>41</v>
      </c>
    </row>
    <row customHeight="1" ht="43.050000000000004">
      <c r="A10" s="1246"/>
      <c r="B10" s="1246"/>
      <c r="C10" s="1246"/>
      <c r="F10" s="2516"/>
      <c r="G10" s="2516"/>
      <c r="H10" s="2573"/>
      <c r="I10" s="2516"/>
      <c r="J10" s="2516"/>
      <c r="K10" s="2516"/>
      <c r="L10" s="2516"/>
      <c r="M10" s="2516"/>
      <c r="N10" s="1244" t="s">
        <v>1086</v>
      </c>
      <c r="O10" s="1244" t="s">
        <v>1087</v>
      </c>
      <c r="P10" s="1245" t="s">
        <v>1088</v>
      </c>
      <c r="Q10" s="1256" t="s">
        <v>89</v>
      </c>
      <c r="R10" s="1256" t="s">
        <v>1089</v>
      </c>
      <c r="S10" s="1256" t="s">
        <v>1090</v>
      </c>
      <c r="T10" s="1257" t="s">
        <v>1091</v>
      </c>
      <c r="U10" s="1256" t="s">
        <v>89</v>
      </c>
      <c r="V10" s="1256" t="s">
        <v>1092</v>
      </c>
      <c r="W10" s="1256" t="s">
        <v>1090</v>
      </c>
      <c r="X10" s="1257" t="s">
        <v>1091</v>
      </c>
      <c r="Y10" s="642" t="s">
        <v>1093</v>
      </c>
      <c r="Z10" s="2442" t="s">
        <v>88</v>
      </c>
      <c r="AA10" s="2444"/>
      <c r="AB10" s="1390" t="s">
        <v>1094</v>
      </c>
      <c r="AE10" s="1099">
        <v>41</v>
      </c>
    </row>
    <row s="21688" customFormat="1" customHeight="1" ht="5.25" hidden="1">
      <c r="A11" s="1393"/>
      <c r="B11" s="1393"/>
      <c r="C11" s="1393"/>
      <c r="E11" s="1391"/>
      <c r="F11" s="2747" t="s">
        <v>490</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1095</v>
      </c>
      <c r="AE11" s="852">
        <v>0</v>
      </c>
    </row>
    <row s="21688"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1096</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21688"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32108-F80A-14D4-71D6-661AC98FCB5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6747" width="4.140625" hidden="1" customWidth="1"/>
    <col min="4" max="4" style="21687" width="4.140625" hidden="1" customWidth="1"/>
    <col min="5" max="5" style="21605" width="3.00390625" customWidth="1"/>
    <col min="6" max="6" style="21605" width="14.00390625" customWidth="1"/>
    <col min="7" max="7" style="21605" width="3.00390625" customWidth="1"/>
    <col min="8" max="8" style="21605" width="7.00390625" customWidth="1"/>
    <col min="9" max="10" style="21605" width="16.00390625" customWidth="1"/>
    <col min="11" max="11" style="21605" width="25.00390625" customWidth="1"/>
    <col min="12" max="12" style="21605" width="7.00390625" customWidth="1"/>
    <col min="13" max="13" style="21605" width="15.00390625" customWidth="1"/>
    <col min="14" max="14" style="21605" width="3.00390625" customWidth="1"/>
    <col min="15" max="15" style="21605" width="4.00390625" customWidth="1"/>
    <col min="16" max="16" style="21605" width="8.00390625" customWidth="1"/>
    <col min="17" max="17" style="21605" width="21.00390625" customWidth="1"/>
    <col min="18" max="18" style="21605" width="14.00390625" customWidth="1"/>
    <col min="19" max="20" style="21605" width="17.00390625" customWidth="1"/>
    <col min="21" max="21" style="21605" width="9.00390625" customWidth="1"/>
    <col min="22" max="22" style="21605" width="12.00390625" customWidth="1"/>
    <col min="23" max="23" style="21605" width="9.00390625" customWidth="1"/>
    <col min="24" max="24" style="21605" width="21.00390625" customWidth="1"/>
    <col min="25" max="25" style="21605" width="12.00390625" customWidth="1"/>
    <col min="26" max="26" style="21605" width="3.00390625" customWidth="1"/>
    <col min="27" max="27" style="21605" width="6.00390625" customWidth="1"/>
    <col min="28" max="28" style="21605" width="38.00390625" customWidth="1"/>
    <col min="29" max="29" style="21605" width="15.00390625" customWidth="1"/>
    <col min="30" max="30" style="21605" width="37.57421875" hidden="1" customWidth="1"/>
    <col min="31" max="31" style="21605" width="15.7109375" hidden="1" customWidth="1"/>
    <col min="32" max="34" style="21605" width="16.00390625" customWidth="1"/>
    <col min="35" max="37" style="21605" width="16.7109375" hidden="1" customWidth="1"/>
    <col min="38" max="58" style="21605" width="8.00390625" customWidth="1"/>
    <col min="59" max="59" style="21605" width="9.140625" hidden="1"/>
  </cols>
  <sheetData>
    <row s="21687" customFormat="1" customHeight="1" ht="10.5" hidden="1">
      <c r="A1" s="1236"/>
      <c r="B1" s="1236"/>
      <c r="C1" s="1236"/>
      <c r="E1" s="878"/>
      <c r="H1" s="1501"/>
      <c r="L1" s="1469"/>
      <c r="M1" s="1469"/>
      <c r="AD1" s="1469"/>
      <c r="AH1" s="1488"/>
      <c r="AI1" s="1481"/>
      <c r="BG1" s="758" t="s">
        <v>14</v>
      </c>
    </row>
    <row customHeight="1" ht="10.5" hidden="1">
      <c r="BG2" s="1099">
        <v>0</v>
      </c>
    </row>
    <row s="21569"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7. Информация об инвестиционных программах организации холодного водоснабжения и отчетах об их исполнении</v>
      </c>
      <c r="G5" s="2589"/>
      <c r="H5" s="2589"/>
      <c r="I5" s="2589"/>
      <c r="J5" s="2589"/>
      <c r="K5" s="2589"/>
      <c r="L5" s="1476"/>
      <c r="M5" s="1476"/>
      <c r="AG5" s="1247"/>
      <c r="AH5" s="1489"/>
      <c r="BG5" s="1099">
        <v>26</v>
      </c>
    </row>
    <row customHeight="1" ht="10.5">
      <c r="F6" s="2517" t="str">
        <f>IF(org=0,"Не определено",org)</f>
        <v>КГУП "Примтеплоэнерго"</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414</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1097</v>
      </c>
      <c r="G9" s="2750" t="s">
        <v>1098</v>
      </c>
      <c r="H9" s="2751"/>
      <c r="I9" s="2468" t="s">
        <v>1099</v>
      </c>
      <c r="J9" s="2468"/>
      <c r="K9" s="2468" t="s">
        <v>1100</v>
      </c>
      <c r="L9" s="2468"/>
      <c r="M9" s="2468"/>
      <c r="N9" s="2468"/>
      <c r="O9" s="2468"/>
      <c r="P9" s="2468"/>
      <c r="Q9" s="2468"/>
      <c r="R9" s="2468"/>
      <c r="S9" s="2468"/>
      <c r="T9" s="2468"/>
      <c r="U9" s="2468"/>
      <c r="V9" s="2468"/>
      <c r="W9" s="2468"/>
      <c r="X9" s="2468"/>
      <c r="Y9" s="2468"/>
      <c r="Z9" s="2533" t="s">
        <v>1101</v>
      </c>
      <c r="AA9" s="2534"/>
      <c r="AB9" s="2468" t="s">
        <v>1102</v>
      </c>
      <c r="AC9" s="2468"/>
      <c r="AD9" s="2468"/>
      <c r="AE9" s="2468"/>
      <c r="AF9" s="2516" t="s">
        <v>1103</v>
      </c>
      <c r="AG9" s="2468" t="s">
        <v>1104</v>
      </c>
      <c r="AH9" s="2468"/>
      <c r="AI9" s="2516" t="s">
        <v>1105</v>
      </c>
      <c r="AJ9" s="2468" t="s">
        <v>1106</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1107</v>
      </c>
      <c r="L10" s="2442" t="s">
        <v>1108</v>
      </c>
      <c r="M10" s="2444"/>
      <c r="N10" s="2468" t="s">
        <v>1109</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21605" customFormat="1" customHeight="1" ht="25.2">
      <c r="A11" s="1470"/>
      <c r="B11" s="1470"/>
      <c r="C11" s="1470"/>
      <c r="D11" s="1469"/>
      <c r="E11" s="1471"/>
      <c r="F11" s="2749"/>
      <c r="G11" s="2752"/>
      <c r="H11" s="2753"/>
      <c r="I11" s="2468"/>
      <c r="J11" s="2468"/>
      <c r="K11" s="2468"/>
      <c r="L11" s="2516" t="s">
        <v>1110</v>
      </c>
      <c r="M11" s="2516" t="s">
        <v>1111</v>
      </c>
      <c r="N11" s="2468" t="s">
        <v>1112</v>
      </c>
      <c r="O11" s="2468"/>
      <c r="P11" s="2759" t="s">
        <v>1093</v>
      </c>
      <c r="Q11" s="2759" t="s">
        <v>1113</v>
      </c>
      <c r="R11" s="2759" t="s">
        <v>1114</v>
      </c>
      <c r="S11" s="2759" t="s">
        <v>1115</v>
      </c>
      <c r="T11" s="2759"/>
      <c r="U11" s="2759"/>
      <c r="V11" s="2759"/>
      <c r="W11" s="2759"/>
      <c r="X11" s="2759"/>
      <c r="Y11" s="2759"/>
      <c r="Z11" s="2535"/>
      <c r="AA11" s="2536"/>
      <c r="AB11" s="2468" t="s">
        <v>1116</v>
      </c>
      <c r="AC11" s="2468"/>
      <c r="AD11" s="2442" t="s">
        <v>1117</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1118</v>
      </c>
      <c r="K12" s="2468"/>
      <c r="L12" s="2573"/>
      <c r="M12" s="2573"/>
      <c r="N12" s="2468"/>
      <c r="O12" s="2468"/>
      <c r="P12" s="2759"/>
      <c r="Q12" s="2759"/>
      <c r="R12" s="2759"/>
      <c r="S12" s="1475" t="s">
        <v>86</v>
      </c>
      <c r="T12" s="1475" t="s">
        <v>87</v>
      </c>
      <c r="U12" s="1475" t="s">
        <v>85</v>
      </c>
      <c r="V12" s="1475" t="s">
        <v>1119</v>
      </c>
      <c r="W12" s="1475" t="s">
        <v>85</v>
      </c>
      <c r="X12" s="1475" t="s">
        <v>1120</v>
      </c>
      <c r="Y12" s="1475" t="s">
        <v>1121</v>
      </c>
      <c r="Z12" s="2541"/>
      <c r="AA12" s="2542"/>
      <c r="AB12" s="1482" t="s">
        <v>1122</v>
      </c>
      <c r="AC12" s="1482" t="s">
        <v>1123</v>
      </c>
      <c r="AD12" s="1482" t="s">
        <v>1122</v>
      </c>
      <c r="AE12" s="1482" t="s">
        <v>1123</v>
      </c>
      <c r="AF12" s="2573"/>
      <c r="AG12" s="1495" t="s">
        <v>1124</v>
      </c>
      <c r="AH12" s="1495" t="s">
        <v>1125</v>
      </c>
      <c r="AI12" s="2573"/>
      <c r="AJ12" s="1495" t="s">
        <v>1124</v>
      </c>
      <c r="AK12" s="1495" t="s">
        <v>1125</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1126</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EC81-0A87-CC5E-8DBC-8B4ABC8D1BC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6747" width="4.140625" hidden="1" customWidth="1"/>
    <col min="4" max="4" style="21687" width="4.140625" hidden="1" customWidth="1"/>
    <col min="5" max="5" style="21605" width="3.00390625" customWidth="1"/>
    <col min="6" max="6" style="21605" width="6.00390625" customWidth="1"/>
    <col min="7" max="7" style="21605" width="60.00390625" customWidth="1"/>
    <col min="8" max="9" style="21605" width="21.7109375" hidden="1" customWidth="1"/>
    <col min="10" max="10" style="21605" width="0.140625" customWidth="1"/>
    <col min="11" max="11" style="21605" width="1.00390625" customWidth="1"/>
    <col min="12" max="22" style="21605" width="8.00390625" customWidth="1"/>
    <col min="23" max="23" style="21605" width="9.140625" hidden="1"/>
  </cols>
  <sheetData>
    <row s="21687" customFormat="1" customHeight="1" ht="10.5" hidden="1">
      <c r="A1" s="1507"/>
      <c r="B1" s="1507"/>
      <c r="C1" s="1507"/>
      <c r="E1" s="878"/>
      <c r="W1" s="1501" t="s">
        <v>14</v>
      </c>
    </row>
    <row customHeight="1" ht="10.5" hidden="1">
      <c r="W2" s="1496">
        <v>0</v>
      </c>
    </row>
    <row s="21569"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89"/>
      <c r="H5" s="2589"/>
      <c r="I5" s="2589"/>
      <c r="J5" s="2589"/>
      <c r="W5" s="1496">
        <v>26</v>
      </c>
    </row>
    <row customHeight="1" ht="10.5">
      <c r="F6" s="2517" t="str">
        <f>IF(org=0,"Не определено",org)</f>
        <v>КГУП "Примтеплоэнерго"</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21688"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414</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1127</v>
      </c>
      <c r="H10" s="2767" t="s">
        <v>1128</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1129</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1130</v>
      </c>
      <c r="G14" s="2762" t="s">
        <v>1131</v>
      </c>
      <c r="H14" s="2762"/>
      <c r="I14" s="2762"/>
      <c r="J14" s="2762"/>
      <c r="K14" s="1575"/>
      <c r="W14" s="1496">
        <v>11</v>
      </c>
    </row>
    <row customHeight="1" ht="11.549999999999999">
      <c r="F15" s="1571">
        <v>1</v>
      </c>
      <c r="G15" s="1031" t="s">
        <v>1132</v>
      </c>
      <c r="H15" s="1577">
        <f>SUM(I15:J15)</f>
        <v>0</v>
      </c>
      <c r="I15" s="1577">
        <f>SUM(I16:I27)</f>
        <v>0</v>
      </c>
      <c r="J15" s="1566"/>
      <c r="K15" s="1575"/>
      <c r="W15" s="1496">
        <v>11</v>
      </c>
    </row>
    <row customHeight="1" ht="24">
      <c r="F16" s="1571" t="s">
        <v>1133</v>
      </c>
      <c r="G16" s="1578" t="s">
        <v>1134</v>
      </c>
      <c r="H16" s="1577">
        <f>SUM(I16:J16)</f>
        <v>0</v>
      </c>
      <c r="I16" s="1576"/>
      <c r="J16" s="1566"/>
      <c r="K16" s="1575"/>
      <c r="W16" s="1496">
        <v>23</v>
      </c>
    </row>
    <row customHeight="1" ht="24">
      <c r="F17" s="1571" t="s">
        <v>1135</v>
      </c>
      <c r="G17" s="1578" t="s">
        <v>1136</v>
      </c>
      <c r="H17" s="1577">
        <f>SUM(I17:J17)</f>
        <v>0</v>
      </c>
      <c r="I17" s="1576"/>
      <c r="J17" s="1566"/>
      <c r="K17" s="1575"/>
      <c r="W17" s="1496">
        <v>23</v>
      </c>
    </row>
    <row customHeight="1" ht="35.699999999999996">
      <c r="F18" s="1571" t="s">
        <v>1137</v>
      </c>
      <c r="G18" s="1578" t="s">
        <v>1138</v>
      </c>
      <c r="H18" s="1577">
        <f>SUM(I18:J18)</f>
        <v>0</v>
      </c>
      <c r="I18" s="1576"/>
      <c r="J18" s="1566"/>
      <c r="K18" s="1575"/>
      <c r="W18" s="1496">
        <v>34</v>
      </c>
    </row>
    <row customHeight="1" ht="35.699999999999996">
      <c r="F19" s="1571" t="s">
        <v>1139</v>
      </c>
      <c r="G19" s="1578" t="s">
        <v>1140</v>
      </c>
      <c r="H19" s="1577">
        <f>SUM(I19:J19)</f>
        <v>0</v>
      </c>
      <c r="I19" s="1576"/>
      <c r="J19" s="1566"/>
      <c r="K19" s="1575"/>
      <c r="W19" s="1496">
        <v>34</v>
      </c>
    </row>
    <row customHeight="1" ht="48.29999999999999">
      <c r="F20" s="1571" t="s">
        <v>1141</v>
      </c>
      <c r="G20" s="1578" t="s">
        <v>1142</v>
      </c>
      <c r="H20" s="1577">
        <f>SUM(I20:J20)</f>
        <v>0</v>
      </c>
      <c r="I20" s="1576"/>
      <c r="J20" s="1566"/>
      <c r="K20" s="1575"/>
      <c r="W20" s="1496">
        <v>46</v>
      </c>
    </row>
    <row customHeight="1" ht="35.699999999999996">
      <c r="F21" s="1571" t="s">
        <v>1143</v>
      </c>
      <c r="G21" s="1578" t="s">
        <v>1144</v>
      </c>
      <c r="H21" s="1577">
        <f>SUM(I21:J21)</f>
        <v>0</v>
      </c>
      <c r="I21" s="1576"/>
      <c r="J21" s="1566"/>
      <c r="K21" s="1575"/>
      <c r="W21" s="1496">
        <v>34</v>
      </c>
    </row>
    <row customHeight="1" ht="35.699999999999996">
      <c r="F22" s="1571" t="s">
        <v>1145</v>
      </c>
      <c r="G22" s="1578" t="s">
        <v>1146</v>
      </c>
      <c r="H22" s="1577">
        <f>SUM(I22:J22)</f>
        <v>0</v>
      </c>
      <c r="I22" s="1576"/>
      <c r="J22" s="1566"/>
      <c r="K22" s="1575"/>
      <c r="W22" s="1496">
        <v>34</v>
      </c>
    </row>
    <row customHeight="1" ht="24">
      <c r="F23" s="1571" t="s">
        <v>1147</v>
      </c>
      <c r="G23" s="1578" t="s">
        <v>1148</v>
      </c>
      <c r="H23" s="1577">
        <f>SUM(I23:J23)</f>
        <v>0</v>
      </c>
      <c r="I23" s="1576"/>
      <c r="J23" s="1566"/>
      <c r="K23" s="1575"/>
      <c r="W23" s="1496">
        <v>23</v>
      </c>
    </row>
    <row customHeight="1" ht="24">
      <c r="F24" s="1571" t="s">
        <v>1149</v>
      </c>
      <c r="G24" s="1578" t="s">
        <v>1150</v>
      </c>
      <c r="H24" s="1577">
        <f>SUM(I24:J24)</f>
        <v>0</v>
      </c>
      <c r="I24" s="1576"/>
      <c r="J24" s="1566"/>
      <c r="K24" s="1575"/>
      <c r="W24" s="1496">
        <v>23</v>
      </c>
    </row>
    <row customHeight="1" ht="35.699999999999996">
      <c r="F25" s="1571" t="s">
        <v>1151</v>
      </c>
      <c r="G25" s="1578" t="s">
        <v>1152</v>
      </c>
      <c r="H25" s="1577">
        <f>SUM(I25:J25)</f>
        <v>0</v>
      </c>
      <c r="I25" s="1576"/>
      <c r="J25" s="1566"/>
      <c r="K25" s="1575"/>
      <c r="W25" s="1496">
        <v>34</v>
      </c>
    </row>
    <row customHeight="1" ht="35.699999999999996">
      <c r="F26" s="1571" t="s">
        <v>1153</v>
      </c>
      <c r="G26" s="1578" t="s">
        <v>1154</v>
      </c>
      <c r="H26" s="1577">
        <f>SUM(I26:J26)</f>
        <v>0</v>
      </c>
      <c r="I26" s="1576"/>
      <c r="J26" s="1566"/>
      <c r="K26" s="1575"/>
      <c r="W26" s="1496">
        <v>34</v>
      </c>
    </row>
    <row customHeight="1" ht="11.549999999999999">
      <c r="F27" s="1571" t="s">
        <v>1155</v>
      </c>
      <c r="G27" s="1578" t="s">
        <v>1156</v>
      </c>
      <c r="H27" s="1577">
        <f>SUM(I27:J27)</f>
        <v>0</v>
      </c>
      <c r="I27" s="1576"/>
      <c r="J27" s="1566"/>
      <c r="K27" s="1575"/>
      <c r="W27" s="1496">
        <v>11</v>
      </c>
    </row>
    <row customHeight="1" ht="11.549999999999999">
      <c r="F28" s="1571">
        <v>2</v>
      </c>
      <c r="G28" s="1031" t="s">
        <v>1157</v>
      </c>
      <c r="H28" s="1577">
        <f>SUM(I28:J28)</f>
        <v>0</v>
      </c>
      <c r="I28" s="1577">
        <f>SUM(I29:I31)</f>
        <v>0</v>
      </c>
      <c r="J28" s="1566"/>
      <c r="K28" s="1575"/>
      <c r="W28" s="1496">
        <v>11</v>
      </c>
    </row>
    <row customHeight="1" ht="11.549999999999999">
      <c r="F29" s="1571" t="s">
        <v>820</v>
      </c>
      <c r="G29" s="1578" t="s">
        <v>1158</v>
      </c>
      <c r="H29" s="1577">
        <f>SUM(I29:J29)</f>
        <v>0</v>
      </c>
      <c r="I29" s="1576"/>
      <c r="J29" s="1566"/>
      <c r="K29" s="1575"/>
      <c r="W29" s="1496">
        <v>11</v>
      </c>
    </row>
    <row customHeight="1" ht="11.549999999999999">
      <c r="F30" s="1571" t="s">
        <v>421</v>
      </c>
      <c r="G30" s="1578" t="s">
        <v>1159</v>
      </c>
      <c r="H30" s="1577">
        <f>SUM(I30:J30)</f>
        <v>0</v>
      </c>
      <c r="I30" s="1576"/>
      <c r="J30" s="1566"/>
      <c r="K30" s="1575"/>
      <c r="W30" s="1496">
        <v>11</v>
      </c>
    </row>
    <row customHeight="1" ht="11.549999999999999">
      <c r="F31" s="1571" t="s">
        <v>424</v>
      </c>
      <c r="G31" s="1578" t="s">
        <v>1160</v>
      </c>
      <c r="H31" s="1577">
        <f>SUM(I31:J31)</f>
        <v>0</v>
      </c>
      <c r="I31" s="1576"/>
      <c r="J31" s="1566"/>
      <c r="K31" s="1575"/>
      <c r="W31" s="1496">
        <v>11</v>
      </c>
    </row>
    <row customHeight="1" ht="11.549999999999999">
      <c r="F32" s="1571">
        <v>3</v>
      </c>
      <c r="G32" s="1031" t="s">
        <v>1161</v>
      </c>
      <c r="H32" s="1577">
        <f>SUM(I32:J32)</f>
        <v>0</v>
      </c>
      <c r="I32" s="1577">
        <f>SUM(I33:I34)</f>
        <v>0</v>
      </c>
      <c r="J32" s="1566"/>
      <c r="K32" s="1575"/>
      <c r="W32" s="1496">
        <v>11</v>
      </c>
    </row>
    <row customHeight="1" ht="48.29999999999999">
      <c r="F33" s="1571" t="s">
        <v>438</v>
      </c>
      <c r="G33" s="1578" t="s">
        <v>1162</v>
      </c>
      <c r="H33" s="1577">
        <f>SUM(I33:J33)</f>
        <v>0</v>
      </c>
      <c r="I33" s="1576"/>
      <c r="J33" s="1566"/>
      <c r="K33" s="1575"/>
      <c r="W33" s="1496">
        <v>46</v>
      </c>
    </row>
    <row customHeight="1" ht="11.549999999999999">
      <c r="F34" s="1571" t="s">
        <v>446</v>
      </c>
      <c r="G34" s="1578" t="s">
        <v>1163</v>
      </c>
      <c r="H34" s="1577">
        <f>SUM(I34:J34)</f>
        <v>0</v>
      </c>
      <c r="I34" s="1576"/>
      <c r="J34" s="1566"/>
      <c r="K34" s="1575"/>
      <c r="W34" s="1496">
        <v>11</v>
      </c>
    </row>
    <row customHeight="1" ht="11.549999999999999">
      <c r="F35" s="1571">
        <v>4</v>
      </c>
      <c r="G35" s="1031" t="s">
        <v>1164</v>
      </c>
      <c r="H35" s="1577">
        <f>SUM(I35:J35)</f>
        <v>0</v>
      </c>
      <c r="I35" s="1576"/>
      <c r="J35" s="1566"/>
      <c r="K35" s="1575"/>
      <c r="W35" s="1496">
        <v>11</v>
      </c>
    </row>
    <row customHeight="1" ht="11.549999999999999">
      <c r="F36" s="1571"/>
      <c r="G36" s="1034" t="s">
        <v>1165</v>
      </c>
      <c r="H36" s="1577">
        <f>SUM(I36:J36)</f>
        <v>0</v>
      </c>
      <c r="I36" s="1577">
        <f>SUM(I15,I28,I32,I35)</f>
        <v>0</v>
      </c>
      <c r="J36" s="1566"/>
      <c r="K36" s="1575"/>
      <c r="W36" s="1496">
        <v>11</v>
      </c>
    </row>
    <row customHeight="1" ht="29.25">
      <c r="F37" s="1572" t="s">
        <v>1166</v>
      </c>
      <c r="G37" s="2763" t="s">
        <v>1167</v>
      </c>
      <c r="H37" s="2763"/>
      <c r="I37" s="2763"/>
      <c r="J37" s="2763"/>
      <c r="K37" s="1575"/>
      <c r="W37" s="1496">
        <v>28</v>
      </c>
    </row>
    <row customHeight="1" ht="24">
      <c r="F38" s="1571" t="s">
        <v>145</v>
      </c>
      <c r="G38" s="1031" t="s">
        <v>1168</v>
      </c>
      <c r="H38" s="1577">
        <f>SUM(I38:J38)</f>
        <v>0</v>
      </c>
      <c r="I38" s="1577">
        <f>SUM(I39,I44,I47)</f>
        <v>0</v>
      </c>
      <c r="J38" s="1566"/>
      <c r="K38" s="1575"/>
      <c r="W38" s="1496">
        <v>23</v>
      </c>
    </row>
    <row customHeight="1" ht="11.549999999999999">
      <c r="F39" s="1571" t="s">
        <v>1133</v>
      </c>
      <c r="G39" s="1578" t="s">
        <v>1132</v>
      </c>
      <c r="H39" s="1577">
        <f>SUM(I39:J39)</f>
        <v>0</v>
      </c>
      <c r="I39" s="1577">
        <f>SUM(I40:I43)</f>
        <v>0</v>
      </c>
      <c r="J39" s="1566"/>
      <c r="K39" s="1575"/>
      <c r="W39" s="1496">
        <v>11</v>
      </c>
    </row>
    <row customHeight="1" ht="24">
      <c r="F40" s="1571" t="s">
        <v>1169</v>
      </c>
      <c r="G40" s="1579" t="s">
        <v>1170</v>
      </c>
      <c r="H40" s="1577">
        <f>SUM(I40:J40)</f>
        <v>0</v>
      </c>
      <c r="I40" s="1576"/>
      <c r="J40" s="1566"/>
      <c r="K40" s="1575"/>
      <c r="W40" s="1496">
        <v>23</v>
      </c>
    </row>
    <row customHeight="1" ht="11.549999999999999">
      <c r="F41" s="1571" t="s">
        <v>1171</v>
      </c>
      <c r="G41" s="1579" t="s">
        <v>1172</v>
      </c>
      <c r="H41" s="1577">
        <f>SUM(I41:J41)</f>
        <v>0</v>
      </c>
      <c r="I41" s="1576"/>
      <c r="J41" s="1566"/>
      <c r="K41" s="1575"/>
      <c r="W41" s="1496">
        <v>11</v>
      </c>
    </row>
    <row customHeight="1" ht="11.549999999999999">
      <c r="F42" s="1571" t="s">
        <v>1173</v>
      </c>
      <c r="G42" s="1579" t="s">
        <v>1174</v>
      </c>
      <c r="H42" s="1577">
        <f>SUM(I42:J42)</f>
        <v>0</v>
      </c>
      <c r="I42" s="1576"/>
      <c r="J42" s="1566"/>
      <c r="K42" s="1575"/>
      <c r="W42" s="1496">
        <v>11</v>
      </c>
    </row>
    <row customHeight="1" ht="35.699999999999996">
      <c r="F43" s="1571" t="s">
        <v>1175</v>
      </c>
      <c r="G43" s="1579" t="s">
        <v>1176</v>
      </c>
      <c r="H43" s="1577">
        <f>SUM(I43:J43)</f>
        <v>0</v>
      </c>
      <c r="I43" s="1576"/>
      <c r="J43" s="1566"/>
      <c r="K43" s="1575"/>
      <c r="W43" s="1496">
        <v>34</v>
      </c>
    </row>
    <row customHeight="1" ht="11.549999999999999">
      <c r="F44" s="1571" t="s">
        <v>1135</v>
      </c>
      <c r="G44" s="1578" t="s">
        <v>1161</v>
      </c>
      <c r="H44" s="1577">
        <f>SUM(I44:J44)</f>
        <v>0</v>
      </c>
      <c r="I44" s="1577">
        <f>SUM(I45:I46)</f>
        <v>0</v>
      </c>
      <c r="J44" s="1566"/>
      <c r="K44" s="1575"/>
      <c r="W44" s="1496">
        <v>11</v>
      </c>
    </row>
    <row customHeight="1" ht="48.29999999999999">
      <c r="F45" s="1571" t="s">
        <v>1177</v>
      </c>
      <c r="G45" s="1579" t="s">
        <v>1162</v>
      </c>
      <c r="H45" s="1577">
        <f>SUM(I45:J45)</f>
        <v>0</v>
      </c>
      <c r="I45" s="1576"/>
      <c r="J45" s="1566"/>
      <c r="K45" s="1575"/>
      <c r="W45" s="1496">
        <v>46</v>
      </c>
    </row>
    <row customHeight="1" ht="11.549999999999999">
      <c r="F46" s="1571" t="s">
        <v>1178</v>
      </c>
      <c r="G46" s="1579" t="s">
        <v>1163</v>
      </c>
      <c r="H46" s="1577">
        <f>SUM(I46:J46)</f>
        <v>0</v>
      </c>
      <c r="I46" s="1576"/>
      <c r="J46" s="1566"/>
      <c r="K46" s="1575"/>
      <c r="W46" s="1496">
        <v>11</v>
      </c>
    </row>
    <row customHeight="1" ht="11.549999999999999">
      <c r="F47" s="1571" t="s">
        <v>1137</v>
      </c>
      <c r="G47" s="1578" t="s">
        <v>1179</v>
      </c>
      <c r="H47" s="1577">
        <f>SUM(I47:J47)</f>
        <v>0</v>
      </c>
      <c r="I47" s="1576"/>
      <c r="J47" s="1566"/>
      <c r="K47" s="1575"/>
      <c r="W47" s="1496">
        <v>11</v>
      </c>
    </row>
    <row customHeight="1" ht="24">
      <c r="F48" s="1571" t="s">
        <v>103</v>
      </c>
      <c r="G48" s="1031" t="s">
        <v>1180</v>
      </c>
      <c r="H48" s="1577">
        <f>SUM(I48:J48)</f>
        <v>0</v>
      </c>
      <c r="I48" s="1577">
        <f>SUM(I49,I54,I57)</f>
        <v>0</v>
      </c>
      <c r="J48" s="1566"/>
      <c r="K48" s="1575"/>
      <c r="W48" s="1496">
        <v>23</v>
      </c>
    </row>
    <row customHeight="1" ht="11.549999999999999">
      <c r="F49" s="1571" t="s">
        <v>820</v>
      </c>
      <c r="G49" s="1578" t="s">
        <v>1132</v>
      </c>
      <c r="H49" s="1577">
        <f>SUM(I49:J49)</f>
        <v>0</v>
      </c>
      <c r="I49" s="1577">
        <f>SUM(I50:I53)</f>
        <v>0</v>
      </c>
      <c r="J49" s="1566"/>
      <c r="K49" s="1575"/>
      <c r="W49" s="1496">
        <v>11</v>
      </c>
    </row>
    <row customHeight="1" ht="24">
      <c r="F50" s="1571" t="s">
        <v>823</v>
      </c>
      <c r="G50" s="1579" t="s">
        <v>1170</v>
      </c>
      <c r="H50" s="1577">
        <f>SUM(I50:J50)</f>
        <v>0</v>
      </c>
      <c r="I50" s="1576"/>
      <c r="J50" s="1566"/>
      <c r="K50" s="1575"/>
      <c r="W50" s="1496">
        <v>23</v>
      </c>
    </row>
    <row customHeight="1" ht="11.549999999999999">
      <c r="F51" s="1571" t="s">
        <v>826</v>
      </c>
      <c r="G51" s="1579" t="s">
        <v>1172</v>
      </c>
      <c r="H51" s="1577">
        <f>SUM(I51:J51)</f>
        <v>0</v>
      </c>
      <c r="I51" s="1576"/>
      <c r="J51" s="1566"/>
      <c r="K51" s="1575"/>
      <c r="W51" s="1496">
        <v>11</v>
      </c>
    </row>
    <row customHeight="1" ht="11.549999999999999">
      <c r="F52" s="1571" t="s">
        <v>1181</v>
      </c>
      <c r="G52" s="1579" t="s">
        <v>1174</v>
      </c>
      <c r="H52" s="1577">
        <f>SUM(I52:J52)</f>
        <v>0</v>
      </c>
      <c r="I52" s="1576"/>
      <c r="J52" s="1566"/>
      <c r="K52" s="1575"/>
      <c r="W52" s="1496">
        <v>11</v>
      </c>
    </row>
    <row customHeight="1" ht="35.699999999999996">
      <c r="F53" s="1571" t="s">
        <v>1182</v>
      </c>
      <c r="G53" s="1579" t="s">
        <v>1176</v>
      </c>
      <c r="H53" s="1577">
        <f>SUM(I53:J53)</f>
        <v>0</v>
      </c>
      <c r="I53" s="1576"/>
      <c r="J53" s="1566"/>
      <c r="K53" s="1575"/>
      <c r="W53" s="1496">
        <v>34</v>
      </c>
    </row>
    <row customHeight="1" ht="11.549999999999999">
      <c r="F54" s="1571" t="s">
        <v>421</v>
      </c>
      <c r="G54" s="1578" t="s">
        <v>1161</v>
      </c>
      <c r="H54" s="1577">
        <f>SUM(I54:J54)</f>
        <v>0</v>
      </c>
      <c r="I54" s="1577">
        <f>SUM(I55:I56)</f>
        <v>0</v>
      </c>
      <c r="J54" s="1566"/>
      <c r="K54" s="1575"/>
      <c r="W54" s="1496">
        <v>11</v>
      </c>
    </row>
    <row customHeight="1" ht="48.29999999999999">
      <c r="F55" s="1571" t="s">
        <v>830</v>
      </c>
      <c r="G55" s="1579" t="s">
        <v>1162</v>
      </c>
      <c r="H55" s="1577">
        <f>SUM(I55:J55)</f>
        <v>0</v>
      </c>
      <c r="I55" s="1576"/>
      <c r="J55" s="1566"/>
      <c r="K55" s="1575"/>
      <c r="W55" s="1496">
        <v>46</v>
      </c>
    </row>
    <row customHeight="1" ht="11.549999999999999">
      <c r="F56" s="1571" t="s">
        <v>832</v>
      </c>
      <c r="G56" s="1579" t="s">
        <v>1163</v>
      </c>
      <c r="H56" s="1577">
        <f>SUM(I56:J56)</f>
        <v>0</v>
      </c>
      <c r="I56" s="1576"/>
      <c r="J56" s="1566"/>
      <c r="K56" s="1575"/>
      <c r="W56" s="1496">
        <v>11</v>
      </c>
    </row>
    <row customHeight="1" ht="11.549999999999999">
      <c r="F57" s="1571" t="s">
        <v>424</v>
      </c>
      <c r="G57" s="1578" t="s">
        <v>1179</v>
      </c>
      <c r="H57" s="1577">
        <f>SUM(I57:J57)</f>
        <v>0</v>
      </c>
      <c r="I57" s="1576"/>
      <c r="J57" s="1566"/>
      <c r="K57" s="1575"/>
      <c r="W57" s="1496">
        <v>11</v>
      </c>
    </row>
    <row customHeight="1" ht="11.549999999999999">
      <c r="F58" s="1571"/>
      <c r="G58" s="1580" t="s">
        <v>1165</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34C7-399D-6892-5A43-A12471A8664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6951" width="4.7109375" hidden="1" customWidth="1"/>
    <col min="2" max="2" style="26957" width="4.7109375" hidden="1" customWidth="1"/>
    <col min="3" max="4" style="26951" width="4.7109375" hidden="1" customWidth="1"/>
    <col min="5" max="5" style="26951" width="3.00390625" customWidth="1"/>
    <col min="6" max="6" style="26951" width="6.00390625" customWidth="1"/>
    <col min="7" max="7" style="26951" width="18.00390625" customWidth="1"/>
    <col min="8" max="8" style="26951" width="27.00390625" customWidth="1"/>
    <col min="9" max="9" style="26951" width="18.00390625" customWidth="1"/>
    <col min="10" max="14" style="26951" width="0.8515625" hidden="1" customWidth="1"/>
    <col min="15" max="28" style="26951" width="21.7109375" hidden="1" customWidth="1"/>
    <col min="29" max="71" style="26951" width="0.8515625" hidden="1" customWidth="1"/>
    <col min="72" max="79" style="26951" width="21.7109375" customWidth="1"/>
    <col min="80" max="81" style="26951" width="29.140625" customWidth="1"/>
    <col min="82" max="89" style="26951" width="21.7109375" customWidth="1"/>
    <col min="90" max="102" style="26951" width="0.7109375" customWidth="1"/>
    <col min="103" max="114" style="26951" width="21.7109375" hidden="1" customWidth="1"/>
    <col min="115" max="178" style="26951" width="0.7109375" hidden="1" customWidth="1"/>
    <col min="179" max="179" style="26951" width="0.140625" customWidth="1"/>
    <col min="180" max="184" style="26951" width="8.00390625" customWidth="1"/>
    <col min="185" max="185" style="26951" width="9.140625" hidden="1"/>
  </cols>
  <sheetData>
    <row s="26881" customFormat="1" customHeight="1" ht="12" hidden="1">
      <c r="B1" s="1264"/>
      <c r="C1" s="1265"/>
      <c r="D1" s="1265"/>
      <c r="GC1" s="1263" t="s">
        <v>14</v>
      </c>
    </row>
    <row s="26881"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26881"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26891" customFormat="1" customHeight="1" ht="27.299999999999997">
      <c r="B5" s="2213"/>
      <c r="E5" s="2215"/>
      <c r="F5" s="277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26896" customFormat="1" customHeight="1" ht="18.75">
      <c r="B6" s="1284"/>
      <c r="E6" s="1286"/>
      <c r="F6" s="2555" t="str">
        <f>IF(org=0,"Не определено",org)</f>
        <v>КГУП "Примтеплоэнерго"</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26900"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26900" customFormat="1" customHeight="1" ht="11.25" hidden="1">
      <c r="B8" s="1275"/>
      <c r="F8" s="1397"/>
      <c r="G8" s="1104"/>
      <c r="H8" s="701"/>
      <c r="I8" s="701"/>
      <c r="J8" s="701"/>
      <c r="K8" s="701"/>
      <c r="L8" s="701"/>
      <c r="M8" s="1397"/>
      <c r="N8" s="1397"/>
      <c r="O8" s="2791" t="s">
        <v>1183</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1184</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26900"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26900" customFormat="1" customHeight="1" ht="11.549999999999999">
      <c r="B10" s="1275"/>
      <c r="F10" s="2770" t="s">
        <v>414</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1185</v>
      </c>
      <c r="H11" s="2778" t="s">
        <v>1186</v>
      </c>
      <c r="I11" s="2778" t="s">
        <v>1187</v>
      </c>
      <c r="J11" s="2779"/>
      <c r="K11" s="2779"/>
      <c r="L11" s="2779"/>
      <c r="M11" s="2779"/>
      <c r="N11" s="2779"/>
      <c r="O11" s="2550" t="s">
        <v>1188</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1188</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1188</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1189</v>
      </c>
      <c r="P12" s="2550"/>
      <c r="Q12" s="2550"/>
      <c r="R12" s="2550"/>
      <c r="S12" s="2550" t="s">
        <v>1190</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1191</v>
      </c>
      <c r="BU12" s="2728"/>
      <c r="BV12" s="2728"/>
      <c r="BW12" s="2774"/>
      <c r="BX12" s="2727" t="s">
        <v>1192</v>
      </c>
      <c r="BY12" s="2728"/>
      <c r="BZ12" s="2728"/>
      <c r="CA12" s="2774"/>
      <c r="CB12" s="2727" t="s">
        <v>1193</v>
      </c>
      <c r="CC12" s="2774"/>
      <c r="CD12" s="2727" t="s">
        <v>1194</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1195</v>
      </c>
      <c r="CZ12" s="2728"/>
      <c r="DA12" s="2728"/>
      <c r="DB12" s="2728"/>
      <c r="DC12" s="2728"/>
      <c r="DD12" s="2774"/>
      <c r="DE12" s="2727" t="s">
        <v>1196</v>
      </c>
      <c r="DF12" s="2774"/>
      <c r="DG12" s="2727" t="s">
        <v>1194</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1197</v>
      </c>
      <c r="P13" s="2550"/>
      <c r="Q13" s="2550"/>
      <c r="R13" s="2550"/>
      <c r="S13" s="2677" t="s">
        <v>1198</v>
      </c>
      <c r="T13" s="2729"/>
      <c r="U13" s="2468" t="s">
        <v>1199</v>
      </c>
      <c r="V13" s="2468"/>
      <c r="W13" s="2468"/>
      <c r="X13" s="2468"/>
      <c r="Y13" s="2468" t="s">
        <v>1200</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1201</v>
      </c>
      <c r="BU13" s="2729"/>
      <c r="BV13" s="2677" t="s">
        <v>1202</v>
      </c>
      <c r="BW13" s="2729"/>
      <c r="BX13" s="2677" t="s">
        <v>1203</v>
      </c>
      <c r="BY13" s="2729"/>
      <c r="BZ13" s="2677" t="s">
        <v>1204</v>
      </c>
      <c r="CA13" s="2729"/>
      <c r="CB13" s="2677" t="s">
        <v>1205</v>
      </c>
      <c r="CC13" s="2729"/>
      <c r="CD13" s="2677" t="s">
        <v>1206</v>
      </c>
      <c r="CE13" s="2729"/>
      <c r="CF13" s="2677" t="s">
        <v>1207</v>
      </c>
      <c r="CG13" s="2729"/>
      <c r="CH13" s="2727" t="s">
        <v>1208</v>
      </c>
      <c r="CI13" s="2728"/>
      <c r="CJ13" s="2728"/>
      <c r="CK13" s="2774"/>
      <c r="CL13" s="2777"/>
      <c r="CM13" s="2775"/>
      <c r="CN13" s="2775"/>
      <c r="CO13" s="2775"/>
      <c r="CP13" s="2775"/>
      <c r="CQ13" s="2775"/>
      <c r="CR13" s="2775"/>
      <c r="CS13" s="2775"/>
      <c r="CT13" s="2775"/>
      <c r="CU13" s="2775"/>
      <c r="CV13" s="2775"/>
      <c r="CW13" s="2775"/>
      <c r="CX13" s="2794"/>
      <c r="CY13" s="2677" t="s">
        <v>1209</v>
      </c>
      <c r="CZ13" s="2729"/>
      <c r="DA13" s="2677" t="s">
        <v>1210</v>
      </c>
      <c r="DB13" s="2729"/>
      <c r="DC13" s="2677" t="s">
        <v>1211</v>
      </c>
      <c r="DD13" s="2729"/>
      <c r="DE13" s="2677" t="s">
        <v>1212</v>
      </c>
      <c r="DF13" s="2729"/>
      <c r="DG13" s="2727" t="s">
        <v>1213</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1214</v>
      </c>
      <c r="P14" s="2729"/>
      <c r="Q14" s="2677" t="s">
        <v>1215</v>
      </c>
      <c r="R14" s="2729"/>
      <c r="S14" s="2678"/>
      <c r="T14" s="2554"/>
      <c r="U14" s="2677" t="s">
        <v>947</v>
      </c>
      <c r="V14" s="2729"/>
      <c r="W14" s="2677" t="s">
        <v>950</v>
      </c>
      <c r="X14" s="2729"/>
      <c r="Y14" s="2677" t="s">
        <v>947</v>
      </c>
      <c r="Z14" s="2729"/>
      <c r="AA14" s="2677" t="s">
        <v>957</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1216</v>
      </c>
      <c r="CI14" s="2729"/>
      <c r="CJ14" s="2677" t="s">
        <v>1217</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1218</v>
      </c>
      <c r="DH14" s="2729"/>
      <c r="DI14" s="2677" t="s">
        <v>1219</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937</v>
      </c>
      <c r="P16" s="2774"/>
      <c r="Q16" s="2727" t="s">
        <v>939</v>
      </c>
      <c r="R16" s="2774"/>
      <c r="S16" s="2727" t="s">
        <v>943</v>
      </c>
      <c r="T16" s="2774"/>
      <c r="U16" s="2727" t="s">
        <v>948</v>
      </c>
      <c r="V16" s="2774"/>
      <c r="W16" s="2727" t="s">
        <v>951</v>
      </c>
      <c r="X16" s="2774"/>
      <c r="Y16" s="2727" t="s">
        <v>955</v>
      </c>
      <c r="Z16" s="2774"/>
      <c r="AA16" s="2727" t="s">
        <v>958</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670</v>
      </c>
      <c r="BU16" s="2774"/>
      <c r="BV16" s="2727" t="s">
        <v>670</v>
      </c>
      <c r="BW16" s="2774"/>
      <c r="BX16" s="2727" t="s">
        <v>670</v>
      </c>
      <c r="BY16" s="2774"/>
      <c r="BZ16" s="2727" t="s">
        <v>670</v>
      </c>
      <c r="CA16" s="2774"/>
      <c r="CB16" s="2727" t="s">
        <v>1220</v>
      </c>
      <c r="CC16" s="2774"/>
      <c r="CD16" s="2727" t="s">
        <v>670</v>
      </c>
      <c r="CE16" s="2774"/>
      <c r="CF16" s="2727" t="s">
        <v>1221</v>
      </c>
      <c r="CG16" s="2774"/>
      <c r="CH16" s="2727" t="s">
        <v>1222</v>
      </c>
      <c r="CI16" s="2774"/>
      <c r="CJ16" s="2727" t="s">
        <v>1222</v>
      </c>
      <c r="CK16" s="2774"/>
      <c r="CL16" s="2777"/>
      <c r="CM16" s="2775"/>
      <c r="CN16" s="2775"/>
      <c r="CO16" s="2775"/>
      <c r="CP16" s="2775"/>
      <c r="CQ16" s="2775"/>
      <c r="CR16" s="2775"/>
      <c r="CS16" s="2775"/>
      <c r="CT16" s="2775"/>
      <c r="CU16" s="2775"/>
      <c r="CV16" s="2775"/>
      <c r="CW16" s="2775"/>
      <c r="CX16" s="2794"/>
      <c r="CY16" s="2677" t="s">
        <v>670</v>
      </c>
      <c r="CZ16" s="2729"/>
      <c r="DA16" s="2677" t="s">
        <v>670</v>
      </c>
      <c r="DB16" s="2729"/>
      <c r="DC16" s="2677" t="s">
        <v>670</v>
      </c>
      <c r="DD16" s="2729"/>
      <c r="DE16" s="2727" t="s">
        <v>1220</v>
      </c>
      <c r="DF16" s="2774"/>
      <c r="DG16" s="2727" t="s">
        <v>1223</v>
      </c>
      <c r="DH16" s="2774"/>
      <c r="DI16" s="2727" t="s">
        <v>1223</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1224</v>
      </c>
      <c r="P17" s="1532" t="s">
        <v>1225</v>
      </c>
      <c r="Q17" s="1532" t="s">
        <v>1224</v>
      </c>
      <c r="R17" s="1532" t="s">
        <v>1225</v>
      </c>
      <c r="S17" s="1532" t="s">
        <v>1224</v>
      </c>
      <c r="T17" s="1532" t="s">
        <v>1225</v>
      </c>
      <c r="U17" s="1532" t="s">
        <v>1224</v>
      </c>
      <c r="V17" s="1532" t="s">
        <v>1225</v>
      </c>
      <c r="W17" s="1532" t="s">
        <v>1224</v>
      </c>
      <c r="X17" s="1532" t="s">
        <v>1225</v>
      </c>
      <c r="Y17" s="1532" t="s">
        <v>1224</v>
      </c>
      <c r="Z17" s="1532" t="s">
        <v>1225</v>
      </c>
      <c r="AA17" s="1532" t="s">
        <v>1224</v>
      </c>
      <c r="AB17" s="1532" t="s">
        <v>1225</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1224</v>
      </c>
      <c r="BU17" s="1532" t="s">
        <v>1225</v>
      </c>
      <c r="BV17" s="1532" t="s">
        <v>1224</v>
      </c>
      <c r="BW17" s="1532" t="s">
        <v>1225</v>
      </c>
      <c r="BX17" s="1532" t="s">
        <v>1224</v>
      </c>
      <c r="BY17" s="1532" t="s">
        <v>1225</v>
      </c>
      <c r="BZ17" s="1532" t="s">
        <v>1224</v>
      </c>
      <c r="CA17" s="1532" t="s">
        <v>1225</v>
      </c>
      <c r="CB17" s="1532" t="s">
        <v>1224</v>
      </c>
      <c r="CC17" s="1532" t="s">
        <v>1225</v>
      </c>
      <c r="CD17" s="1532" t="s">
        <v>1224</v>
      </c>
      <c r="CE17" s="1532" t="s">
        <v>1225</v>
      </c>
      <c r="CF17" s="1532" t="s">
        <v>1224</v>
      </c>
      <c r="CG17" s="1532" t="s">
        <v>1225</v>
      </c>
      <c r="CH17" s="1532" t="s">
        <v>1224</v>
      </c>
      <c r="CI17" s="1532" t="s">
        <v>1225</v>
      </c>
      <c r="CJ17" s="1532" t="s">
        <v>1224</v>
      </c>
      <c r="CK17" s="1532" t="s">
        <v>1225</v>
      </c>
      <c r="CL17" s="2777"/>
      <c r="CM17" s="2775"/>
      <c r="CN17" s="2775"/>
      <c r="CO17" s="2775"/>
      <c r="CP17" s="2775"/>
      <c r="CQ17" s="2775"/>
      <c r="CR17" s="2775"/>
      <c r="CS17" s="2775"/>
      <c r="CT17" s="2775"/>
      <c r="CU17" s="2775"/>
      <c r="CV17" s="2775"/>
      <c r="CW17" s="2775"/>
      <c r="CX17" s="2794"/>
      <c r="CY17" s="1532" t="s">
        <v>1224</v>
      </c>
      <c r="CZ17" s="1532" t="s">
        <v>1225</v>
      </c>
      <c r="DA17" s="1532" t="s">
        <v>1224</v>
      </c>
      <c r="DB17" s="1532" t="s">
        <v>1225</v>
      </c>
      <c r="DC17" s="1532" t="s">
        <v>1224</v>
      </c>
      <c r="DD17" s="1532" t="s">
        <v>1225</v>
      </c>
      <c r="DE17" s="1532" t="s">
        <v>1224</v>
      </c>
      <c r="DF17" s="1532" t="s">
        <v>1225</v>
      </c>
      <c r="DG17" s="1532" t="s">
        <v>1224</v>
      </c>
      <c r="DH17" s="1532" t="s">
        <v>1225</v>
      </c>
      <c r="DI17" s="1532" t="s">
        <v>1224</v>
      </c>
      <c r="DJ17" s="1532" t="s">
        <v>1225</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26881"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26881"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26881" customFormat="1" customHeight="1" ht="11.25" hidden="1">
      <c r="B20" s="1281"/>
      <c r="D20" s="1265"/>
      <c r="E20" s="1280"/>
      <c r="F20" s="1538" t="s">
        <v>490</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26881"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26881" customFormat="1" customHeight="1" ht="12.75">
      <c r="A22" s="1282"/>
      <c r="B22" s="1282"/>
      <c r="C22" s="1282"/>
      <c r="D22" s="1282"/>
      <c r="E22" s="1282"/>
      <c r="FX22" s="1282"/>
      <c r="FY22" s="1282"/>
      <c r="FZ22" s="1282"/>
      <c r="GA22" s="1282"/>
      <c r="GB22" s="1282"/>
      <c r="GC22" s="1263">
        <v>12</v>
      </c>
    </row>
    <row s="26951"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F5DBF-7CAE-0E5B-15A9-EDCD4DB249A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1569" width="9.140625" hidden="1" customWidth="1"/>
    <col min="2" max="2" style="21605" width="9.140625" hidden="1" customWidth="1"/>
    <col min="3" max="3" style="26776" width="4.00390625" customWidth="1"/>
    <col min="4" max="4" style="21605" width="6.00390625" customWidth="1"/>
    <col min="5" max="5" style="21605" width="36.00390625" customWidth="1"/>
    <col min="6" max="6" style="21605" width="9.00390625" customWidth="1"/>
    <col min="7" max="7" style="21605" width="42.421875" hidden="1" customWidth="1"/>
    <col min="8" max="8" style="21605" width="40.7109375" customWidth="1"/>
    <col min="9" max="9" style="21687" width="93.00390625" customWidth="1"/>
    <col min="10" max="17" style="21605" width="10.00390625" customWidth="1"/>
    <col min="18" max="18" style="26777" width="10.00390625" customWidth="1"/>
    <col min="19" max="19" style="21605" width="10.57421875" hidden="1"/>
  </cols>
  <sheetData>
    <row s="21687" customFormat="1" customHeight="1" ht="15" hidden="1">
      <c r="C1" s="1013"/>
      <c r="H1" s="758">
        <v>4</v>
      </c>
      <c r="R1" s="761"/>
      <c r="S1" s="758" t="s">
        <v>14</v>
      </c>
    </row>
    <row customHeight="1" ht="22.5" hidden="1">
      <c r="C2" s="2269" t="s">
        <v>104</v>
      </c>
      <c r="D2" s="880"/>
      <c r="E2" s="1004"/>
      <c r="F2" s="2102" t="str">
        <f>IF(TEMPLATE_SPHERE="HEAT","Гкал/час","тыс. куб. м/сутки")</f>
        <v>тыс. куб. м/сутки</v>
      </c>
      <c r="G2" s="1021"/>
      <c r="H2" s="1021"/>
      <c r="I2" s="630"/>
      <c r="S2" s="846">
        <v>0</v>
      </c>
    </row>
    <row s="21687" customFormat="1" customHeight="1" ht="15" hidden="1">
      <c r="C3" s="1013"/>
      <c r="R3" s="761"/>
      <c r="S3" s="758">
        <v>0</v>
      </c>
    </row>
    <row customHeight="1" ht="15.75">
      <c r="C4" s="517"/>
      <c r="D4" s="850"/>
      <c r="E4" s="850"/>
      <c r="F4" s="850"/>
      <c r="G4" s="850"/>
      <c r="H4" s="850"/>
      <c r="S4" s="846">
        <v>15</v>
      </c>
    </row>
    <row customHeight="1" ht="39.75">
      <c r="C5" s="517"/>
      <c r="D5" s="25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78"/>
      <c r="F5" s="2578"/>
      <c r="G5" s="2578"/>
      <c r="H5" s="2578"/>
      <c r="I5" s="878"/>
      <c r="S5" s="846">
        <v>38</v>
      </c>
    </row>
    <row customHeight="1" ht="15.75">
      <c r="C6" s="517"/>
      <c r="D6" s="2517" t="str">
        <f>IF(org=0,"Не определено",org)</f>
        <v>КГУП "Примтеплоэнерго"</v>
      </c>
      <c r="E6" s="2517"/>
      <c r="F6" s="2517"/>
      <c r="G6" s="2517"/>
      <c r="H6" s="2517"/>
      <c r="I6" s="878"/>
      <c r="S6" s="846">
        <v>15</v>
      </c>
    </row>
    <row s="21605" customFormat="1" customHeight="1" ht="15.75">
      <c r="A7" s="1100"/>
      <c r="C7" s="517"/>
      <c r="D7" s="1017"/>
      <c r="E7" s="1017"/>
      <c r="F7" s="1017"/>
      <c r="G7" s="1017"/>
      <c r="H7" s="1093"/>
      <c r="I7" s="878"/>
      <c r="R7" s="1016"/>
      <c r="S7" s="1099">
        <v>15</v>
      </c>
    </row>
    <row customHeight="1" ht="1.05">
      <c r="C8" s="517"/>
      <c r="D8" s="850"/>
      <c r="E8" s="850"/>
      <c r="F8" s="850"/>
      <c r="G8" s="850"/>
      <c r="H8" s="878" t="s">
        <v>158</v>
      </c>
      <c r="S8" s="846">
        <v>1</v>
      </c>
    </row>
    <row customHeight="1" ht="15.75">
      <c r="C9" s="517"/>
      <c r="D9" s="1052"/>
      <c r="E9" s="2708" t="s">
        <v>150</v>
      </c>
      <c r="F9" s="2709"/>
      <c r="G9" s="1157" t="str">
        <f>IF(G8="","",INDEX(DIFFERENTIATION_UNMERGE_VD,MATCH(G8,DIFFERENTIATION_ID_DIFF,0)))</f>
        <v/>
      </c>
      <c r="H9" s="1157">
        <f>IF(H8="","",INDEX(DIFFERENTIATION_UNMERGE_VD,MATCH(H8,DIFFERENTIATION_ID_DIFF,0)))</f>
        <v>0</v>
      </c>
      <c r="I9" s="2468" t="s">
        <v>415</v>
      </c>
      <c r="S9" s="846">
        <v>15</v>
      </c>
    </row>
    <row s="21605" customFormat="1" customHeight="1" ht="15.75">
      <c r="A10" s="1100"/>
      <c r="C10" s="517"/>
      <c r="D10" s="1052"/>
      <c r="E10" s="2708" t="s">
        <v>676</v>
      </c>
      <c r="F10" s="2709"/>
      <c r="G10" s="1157" t="str">
        <f>IF(G8="","",INDEX(DIFFERENTIATION_UNMERGE_AREA,MATCH(G8,DIFFERENTIATION_ID_DIFF,0)))</f>
        <v/>
      </c>
      <c r="H10" s="1157" t="str">
        <f>IF(H8="","",INDEX(DIFFERENTIATION_UNMERGE_AREA,MATCH(H8,DIFFERENTIATION_ID_DIFF,0)))</f>
        <v/>
      </c>
      <c r="I10" s="2468"/>
      <c r="R10" s="1016"/>
      <c r="S10" s="1099">
        <v>15</v>
      </c>
    </row>
    <row s="21605" customFormat="1" customHeight="1" ht="15.75">
      <c r="A11" s="1100"/>
      <c r="C11" s="517"/>
      <c r="D11" s="1052"/>
      <c r="E11" s="2708" t="s">
        <v>677</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21605" customFormat="1" customHeight="1" ht="15.75">
      <c r="A12" s="1100"/>
      <c r="C12" s="517"/>
      <c r="D12" s="2710" t="s">
        <v>414</v>
      </c>
      <c r="E12" s="2711"/>
      <c r="F12" s="2711"/>
      <c r="G12" s="1228"/>
      <c r="H12" s="1228"/>
      <c r="I12" s="2468"/>
      <c r="R12" s="1016"/>
      <c r="S12" s="1099">
        <v>15</v>
      </c>
    </row>
    <row customHeight="1" ht="35.699999999999996">
      <c r="C13" s="517"/>
      <c r="D13" s="1102" t="s">
        <v>88</v>
      </c>
      <c r="E13" s="1101" t="s">
        <v>416</v>
      </c>
      <c r="F13" s="1101" t="s">
        <v>678</v>
      </c>
      <c r="G13" s="1149" t="s">
        <v>417</v>
      </c>
      <c r="H13" s="1095" t="s">
        <v>417</v>
      </c>
      <c r="I13" s="2468"/>
      <c r="S13" s="846">
        <v>34</v>
      </c>
    </row>
    <row customHeight="1" ht="15" hidden="1">
      <c r="C14" s="517"/>
      <c r="D14" s="934" t="s">
        <v>145</v>
      </c>
      <c r="E14" s="934" t="s">
        <v>103</v>
      </c>
      <c r="F14" s="934" t="s">
        <v>90</v>
      </c>
      <c r="G14" s="1000" t="str">
        <f>G1&amp;".1"</f>
        <v>.1</v>
      </c>
      <c r="H14" s="1000" t="str">
        <f>H1&amp;".1"</f>
        <v>4.1</v>
      </c>
      <c r="I14" s="630"/>
      <c r="S14" s="846">
        <v>0</v>
      </c>
    </row>
    <row customHeight="1" ht="15.75">
      <c r="A15" s="846"/>
      <c r="C15" s="867"/>
      <c r="D15" s="862">
        <v>1</v>
      </c>
      <c r="E15" s="2271" t="str">
        <f>TP_P_A</f>
        <v>Количество поданных заявлений </v>
      </c>
      <c r="F15" s="862" t="s">
        <v>1226</v>
      </c>
      <c r="G15" s="1026"/>
      <c r="H15" s="1026"/>
      <c r="I15" s="54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846">
        <v>15</v>
      </c>
    </row>
    <row customHeight="1" ht="15.75">
      <c r="A16" s="846"/>
      <c r="C16" s="867"/>
      <c r="D16" s="862">
        <v>2</v>
      </c>
      <c r="E16" s="2271" t="str">
        <f>TP_P_B</f>
        <v>Количество исполненных заявлений </v>
      </c>
      <c r="F16" s="862" t="s">
        <v>1226</v>
      </c>
      <c r="G16" s="1026"/>
      <c r="H16" s="1026"/>
      <c r="I16" s="54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846">
        <v>15</v>
      </c>
    </row>
    <row customHeight="1" ht="77.7">
      <c r="A17" s="846"/>
      <c r="C17" s="867"/>
      <c r="D17" s="862">
        <v>3</v>
      </c>
      <c r="E17" s="227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2" t="s">
        <v>1226</v>
      </c>
      <c r="G17" s="1026"/>
      <c r="H17" s="1026"/>
      <c r="I17" s="54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62" t="s">
        <v>420</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62" t="str">
        <f>IF(TEMPLATE_SPHERE="HEAT","Гкал/час","тыс. куб. м/сутки")</f>
        <v>тыс. куб. м/сутки</v>
      </c>
      <c r="G19" s="1028">
        <f>SUM(G20:G22)</f>
        <v>0</v>
      </c>
      <c r="H19" s="1028">
        <f>SUM(H20:H22)</f>
        <v>0</v>
      </c>
      <c r="I19" s="54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846">
        <v>57</v>
      </c>
    </row>
    <row customHeight="1" ht="15" hidden="1">
      <c r="D20" s="850" t="s">
        <v>1227</v>
      </c>
      <c r="E20" s="1029"/>
      <c r="F20" s="850"/>
      <c r="G20" s="850"/>
      <c r="H20" s="850"/>
      <c r="I20" s="2104"/>
      <c r="S20" s="846">
        <v>0</v>
      </c>
    </row>
    <row customHeight="1" ht="29.25">
      <c r="C21" s="792"/>
      <c r="D21" s="880" t="s">
        <v>427</v>
      </c>
      <c r="E21" s="1011"/>
      <c r="F21" s="2102" t="str">
        <f>IF(TEMPLATE_SPHERE="HEAT","Гкал/час","тыс. куб. м/сутки")</f>
        <v>тыс. куб. м/сутки</v>
      </c>
      <c r="G21" s="1021"/>
      <c r="H21" s="1021"/>
      <c r="I21" s="25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846">
        <v>28</v>
      </c>
    </row>
    <row customHeight="1" ht="15.75">
      <c r="A22" s="846"/>
      <c r="C22" s="846"/>
      <c r="D22" s="688"/>
      <c r="E22" s="921" t="s">
        <v>1228</v>
      </c>
      <c r="F22" s="913"/>
      <c r="G22" s="913"/>
      <c r="H22" s="913"/>
      <c r="I22" s="2512"/>
      <c r="R22" s="846"/>
      <c r="S22" s="846">
        <v>15</v>
      </c>
    </row>
    <row customHeight="1" ht="22.5" hidden="1">
      <c r="A23" s="790" t="s">
        <v>82</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BDA34-3229-AF62-0F0C-7BB69C7E927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2594" width="9.140625" hidden="1" customWidth="1"/>
    <col min="2" max="2" style="21687" width="9.140625" hidden="1" customWidth="1"/>
    <col min="3" max="3" style="22595" width="3.00390625" customWidth="1"/>
    <col min="4" max="4" style="21605" width="6.00390625" customWidth="1"/>
    <col min="5" max="6" style="21605" width="64.00390625" customWidth="1"/>
    <col min="7" max="7" style="21605" width="140.00390625" customWidth="1"/>
    <col min="8" max="8" style="21605" width="10.00390625" customWidth="1"/>
    <col min="9" max="10" style="21788" width="10.00390625" customWidth="1"/>
    <col min="11" max="16" style="21605" width="10.00390625" customWidth="1"/>
    <col min="17" max="17" style="21605"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96"/>
      <c r="F5" s="2796"/>
      <c r="G5" s="2797"/>
      <c r="Q5" s="424">
        <v>28</v>
      </c>
    </row>
    <row s="21605" customFormat="1" customHeight="1" ht="18.75">
      <c r="A6" s="1223"/>
      <c r="B6" s="758"/>
      <c r="C6" s="717"/>
      <c r="D6" s="2798" t="str">
        <f>IF(org=0,"Не определено",org)</f>
        <v>КГУП "Примтеплоэнерго"</v>
      </c>
      <c r="E6" s="2799"/>
      <c r="F6" s="2799"/>
      <c r="G6" s="2800"/>
      <c r="I6" s="841"/>
      <c r="J6" s="841"/>
      <c r="Q6" s="1099">
        <v>18</v>
      </c>
    </row>
    <row customHeight="1" ht="14.699999999999998">
      <c r="C7" s="437"/>
      <c r="D7" s="425"/>
      <c r="E7" s="436"/>
      <c r="F7" s="1093"/>
      <c r="G7" s="534"/>
      <c r="Q7" s="424">
        <v>14</v>
      </c>
    </row>
    <row s="21605" customFormat="1" customHeight="1" ht="1.05">
      <c r="A8" s="2010"/>
      <c r="B8" s="1501"/>
      <c r="C8" s="717"/>
      <c r="D8" s="704"/>
      <c r="E8" s="730"/>
      <c r="F8" s="1093"/>
      <c r="G8" s="534"/>
      <c r="I8" s="1965"/>
      <c r="J8" s="1965"/>
      <c r="Q8" s="1972">
        <v>1</v>
      </c>
    </row>
    <row customHeight="1" ht="14.699999999999998">
      <c r="C9" s="437"/>
      <c r="D9" s="2550" t="s">
        <v>414</v>
      </c>
      <c r="E9" s="2550"/>
      <c r="F9" s="2550"/>
      <c r="G9" s="2730" t="s">
        <v>415</v>
      </c>
      <c r="Q9" s="424">
        <v>14</v>
      </c>
    </row>
    <row customHeight="1" ht="24">
      <c r="C10" s="437"/>
      <c r="D10" s="446" t="s">
        <v>88</v>
      </c>
      <c r="E10" s="449" t="s">
        <v>416</v>
      </c>
      <c r="F10" s="449" t="s">
        <v>504</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39" t="s">
        <v>420</v>
      </c>
      <c r="G12" s="492"/>
      <c r="Q12" s="424">
        <v>62</v>
      </c>
    </row>
    <row customHeight="1" ht="24">
      <c r="A13" s="533"/>
      <c r="C13" s="437"/>
      <c r="D13" s="488" t="s">
        <v>1133</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420</v>
      </c>
      <c r="G13" s="492"/>
      <c r="Q13" s="424">
        <v>23</v>
      </c>
    </row>
    <row customHeight="1" ht="14.699999999999998">
      <c r="A14" s="533"/>
      <c r="C14" s="437"/>
      <c r="D14" s="488" t="s">
        <v>1169</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1229</v>
      </c>
      <c r="F15" s="542"/>
      <c r="G15" s="2512"/>
      <c r="Q15" s="424">
        <v>15</v>
      </c>
    </row>
    <row customHeight="1" ht="14.699999999999998">
      <c r="A16" s="533"/>
      <c r="C16" s="437"/>
      <c r="D16" s="488" t="s">
        <v>1135</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39" t="s">
        <v>420</v>
      </c>
      <c r="G16" s="678"/>
      <c r="Q16" s="424">
        <v>14</v>
      </c>
    </row>
    <row customHeight="1" ht="14.699999999999998">
      <c r="A17" s="533"/>
      <c r="C17" s="437"/>
      <c r="D17" s="488" t="s">
        <v>1177</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4">
        <v>14</v>
      </c>
    </row>
    <row s="21605" customFormat="1" customHeight="1" ht="22.049999999999997">
      <c r="A18" s="684"/>
      <c r="B18" s="487"/>
      <c r="C18" s="648"/>
      <c r="D18" s="688"/>
      <c r="E18" s="690" t="s">
        <v>1230</v>
      </c>
      <c r="F18" s="679"/>
      <c r="G18" s="2512"/>
      <c r="I18" s="691"/>
      <c r="J18" s="691"/>
      <c r="Q18" s="683">
        <v>21</v>
      </c>
    </row>
    <row s="21605" customFormat="1" customHeight="1" ht="256.5" hidden="1">
      <c r="A19" s="684"/>
      <c r="B19" s="758"/>
      <c r="C19" s="717"/>
      <c r="D19" s="1225" t="s">
        <v>1137</v>
      </c>
      <c r="E19" s="1224" t="s">
        <v>1231</v>
      </c>
      <c r="F19" s="726"/>
      <c r="G19" s="678" t="s">
        <v>1232</v>
      </c>
      <c r="I19" s="841"/>
      <c r="J19" s="841"/>
      <c r="Q19" s="1099">
        <v>0</v>
      </c>
    </row>
    <row s="21605" customFormat="1" customHeight="1" ht="14.699999999999998">
      <c r="A20" s="684"/>
      <c r="B20" s="487"/>
      <c r="C20" s="648"/>
      <c r="D20" s="1226">
        <v>2</v>
      </c>
      <c r="E20" s="671" t="s">
        <v>1233</v>
      </c>
      <c r="F20" s="539" t="s">
        <v>420</v>
      </c>
      <c r="G20" s="678"/>
      <c r="I20" s="691"/>
      <c r="J20" s="691"/>
      <c r="Q20" s="683">
        <v>14</v>
      </c>
    </row>
    <row s="21605" customFormat="1" customHeight="1" ht="18.75" hidden="1">
      <c r="A21" s="684"/>
      <c r="B21" s="487"/>
      <c r="C21" s="648"/>
      <c r="D21" s="674" t="s">
        <v>748</v>
      </c>
      <c r="E21" s="673"/>
      <c r="F21" s="672"/>
      <c r="G21" s="682"/>
      <c r="H21" s="675"/>
      <c r="I21" s="691"/>
      <c r="J21" s="691"/>
      <c r="Q21" s="683">
        <v>0</v>
      </c>
    </row>
    <row customHeight="1" ht="15.75">
      <c r="A22" s="533"/>
      <c r="C22" s="437"/>
      <c r="D22" s="450"/>
      <c r="E22" s="544" t="s">
        <v>436</v>
      </c>
      <c r="F22" s="679"/>
      <c r="G22" s="680"/>
      <c r="Q22" s="424">
        <v>15</v>
      </c>
    </row>
    <row s="21605" customFormat="1" customHeight="1" ht="22.5" hidden="1">
      <c r="A23" s="684"/>
      <c r="B23" s="1501"/>
      <c r="C23" s="717"/>
      <c r="D23" s="2014" t="s">
        <v>103</v>
      </c>
      <c r="E23" s="538" t="s">
        <v>1234</v>
      </c>
      <c r="F23" s="2011" t="s">
        <v>420</v>
      </c>
      <c r="G23" s="686"/>
      <c r="I23" s="1965"/>
      <c r="J23" s="1965"/>
      <c r="Q23" s="1972">
        <v>0</v>
      </c>
    </row>
    <row s="21605" customFormat="1" customHeight="1" ht="14.25" hidden="1">
      <c r="A24" s="684"/>
      <c r="B24" s="1501"/>
      <c r="C24" s="717"/>
      <c r="D24" s="2014" t="s">
        <v>820</v>
      </c>
      <c r="E24" s="2013" t="s">
        <v>1235</v>
      </c>
      <c r="F24" s="2011" t="s">
        <v>420</v>
      </c>
      <c r="G24" s="678"/>
      <c r="I24" s="1965"/>
      <c r="J24" s="1965"/>
      <c r="Q24" s="1972">
        <v>0</v>
      </c>
    </row>
    <row s="21605" customFormat="1" customHeight="1" ht="14.25" hidden="1">
      <c r="A25" s="684"/>
      <c r="B25" s="1501"/>
      <c r="C25" s="717"/>
      <c r="D25" s="2014" t="s">
        <v>823</v>
      </c>
      <c r="E25" s="536"/>
      <c r="F25" s="726"/>
      <c r="G25" s="2510" t="s">
        <v>1236</v>
      </c>
      <c r="I25" s="1965"/>
      <c r="J25" s="1965"/>
      <c r="Q25" s="1972">
        <v>0</v>
      </c>
    </row>
    <row s="21605" customFormat="1" customHeight="1" ht="22.5" hidden="1">
      <c r="A26" s="684"/>
      <c r="B26" s="1501"/>
      <c r="C26" s="717"/>
      <c r="D26" s="688"/>
      <c r="E26" s="690" t="s">
        <v>1237</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867D6-8592-8CC6-0BDE-FADE1B24A64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2593" width="9.140625" hidden="1" customWidth="1"/>
    <col min="2" max="2" style="21687" width="9.140625" hidden="1" customWidth="1"/>
    <col min="3" max="3" style="22595" width="3.00390625" customWidth="1"/>
    <col min="4" max="4" style="21605" width="6.00390625" customWidth="1"/>
    <col min="5" max="5" style="21605" width="63.00390625" customWidth="1"/>
    <col min="6" max="6" style="21605" width="1.7109375" hidden="1" customWidth="1"/>
    <col min="7" max="8" style="21605" width="35.00390625" customWidth="1"/>
    <col min="9" max="9" style="21605" width="91.00390625" customWidth="1"/>
    <col min="10" max="10" style="21605" width="68.00390625" customWidth="1"/>
    <col min="11" max="12" style="21788" width="10.00390625" customWidth="1"/>
    <col min="13" max="13" style="21605" width="10.57421875" hidden="1"/>
  </cols>
  <sheetData>
    <row customHeight="1" ht="22.5" hidden="1">
      <c r="M1" s="424" t="s">
        <v>14</v>
      </c>
    </row>
    <row s="21605" customFormat="1" customHeight="1" ht="18.75" hidden="1">
      <c r="A2" s="2024"/>
      <c r="B2" s="1501"/>
      <c r="C2" s="2071" t="s">
        <v>104</v>
      </c>
      <c r="D2" s="2014"/>
      <c r="E2" s="540"/>
      <c r="F2" s="2011"/>
      <c r="G2" s="2011" t="s">
        <v>420</v>
      </c>
      <c r="H2" s="1502"/>
      <c r="K2" s="1965"/>
      <c r="L2" s="1965"/>
      <c r="M2" s="1972">
        <v>0</v>
      </c>
    </row>
    <row s="21605" customFormat="1" customHeight="1" ht="14.25" hidden="1">
      <c r="A3" s="1703"/>
      <c r="B3" s="1501"/>
      <c r="C3" s="685"/>
      <c r="K3" s="1965"/>
      <c r="L3" s="1965"/>
      <c r="M3" s="1972">
        <v>0</v>
      </c>
    </row>
    <row s="21605" customFormat="1" customHeight="1" ht="18.75" hidden="1">
      <c r="A4" s="2024"/>
      <c r="B4" s="1501"/>
      <c r="C4" s="2071" t="s">
        <v>104</v>
      </c>
      <c r="D4" s="2014"/>
      <c r="E4" s="546" t="s">
        <v>1238</v>
      </c>
      <c r="F4" s="2011"/>
      <c r="G4" s="598"/>
      <c r="H4" s="2011" t="s">
        <v>420</v>
      </c>
      <c r="K4" s="1965"/>
      <c r="L4" s="1965"/>
      <c r="M4" s="1972">
        <v>0</v>
      </c>
    </row>
    <row s="21605" customFormat="1" customHeight="1" ht="14.25" hidden="1">
      <c r="A5" s="1703"/>
      <c r="B5" s="1501"/>
      <c r="C5" s="685"/>
      <c r="K5" s="1965"/>
      <c r="L5" s="1965"/>
      <c r="M5" s="1972">
        <v>0</v>
      </c>
    </row>
    <row s="21605" customFormat="1" customHeight="1" ht="18.75" hidden="1">
      <c r="A6" s="2024"/>
      <c r="B6" s="1501"/>
      <c r="C6" s="2071" t="s">
        <v>104</v>
      </c>
      <c r="D6" s="2014"/>
      <c r="E6" s="547" t="s">
        <v>1239</v>
      </c>
      <c r="F6" s="2011"/>
      <c r="G6" s="598"/>
      <c r="H6" s="2011" t="s">
        <v>420</v>
      </c>
      <c r="K6" s="1965"/>
      <c r="L6" s="1965"/>
      <c r="M6" s="1972">
        <v>0</v>
      </c>
    </row>
    <row s="21605" customFormat="1" customHeight="1" ht="14.25" hidden="1">
      <c r="A7" s="1703"/>
      <c r="B7" s="1501"/>
      <c r="C7" s="685"/>
      <c r="K7" s="1965"/>
      <c r="L7" s="1965"/>
      <c r="M7" s="1972">
        <v>0</v>
      </c>
    </row>
    <row s="21605" customFormat="1" customHeight="1" ht="18.75" hidden="1">
      <c r="A8" s="2024"/>
      <c r="B8" s="1501"/>
      <c r="C8" s="2071" t="s">
        <v>104</v>
      </c>
      <c r="D8" s="2014"/>
      <c r="E8" s="547" t="s">
        <v>1240</v>
      </c>
      <c r="F8" s="2011"/>
      <c r="G8" s="598"/>
      <c r="H8" s="2011" t="s">
        <v>420</v>
      </c>
      <c r="K8" s="1965"/>
      <c r="L8" s="1965"/>
      <c r="M8" s="1972">
        <v>0</v>
      </c>
    </row>
    <row s="21605" customFormat="1" customHeight="1" ht="14.25" hidden="1">
      <c r="A9" s="1703"/>
      <c r="B9" s="1501"/>
      <c r="C9" s="685"/>
      <c r="K9" s="1965"/>
      <c r="L9" s="1965"/>
      <c r="M9" s="1972">
        <v>0</v>
      </c>
    </row>
    <row s="21605" customFormat="1" customHeight="1" ht="18.75" hidden="1">
      <c r="A10" s="2024"/>
      <c r="B10" s="1501"/>
      <c r="C10" s="2071" t="s">
        <v>104</v>
      </c>
      <c r="D10" s="2014"/>
      <c r="E10" s="547" t="s">
        <v>1241</v>
      </c>
      <c r="F10" s="2011"/>
      <c r="G10" s="2015"/>
      <c r="H10" s="2011" t="s">
        <v>420</v>
      </c>
      <c r="K10" s="1965"/>
      <c r="L10" s="1965" t="s">
        <v>1242</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96"/>
      <c r="F14" s="2796"/>
      <c r="G14" s="2796"/>
      <c r="H14" s="2797"/>
      <c r="J14" s="1972"/>
      <c r="M14" s="424">
        <v>28</v>
      </c>
    </row>
    <row s="21605" customFormat="1" customHeight="1" ht="14.699999999999998">
      <c r="A15" s="1703"/>
      <c r="B15" s="1501"/>
      <c r="C15" s="717"/>
      <c r="D15" s="2798" t="str">
        <f>IF(org=0,"Не определено",org)</f>
        <v>КГУП "Примтеплоэнерго"</v>
      </c>
      <c r="E15" s="2799"/>
      <c r="F15" s="2799"/>
      <c r="G15" s="2799"/>
      <c r="H15" s="2800"/>
      <c r="J15" s="1193"/>
      <c r="K15" s="1965"/>
      <c r="L15" s="1965"/>
      <c r="M15" s="1972">
        <v>14</v>
      </c>
    </row>
    <row customHeight="1" ht="14.699999999999998">
      <c r="C16" s="437"/>
      <c r="D16" s="425"/>
      <c r="E16" s="436"/>
      <c r="F16" s="436"/>
      <c r="G16" s="436"/>
      <c r="H16" s="1093"/>
      <c r="I16" s="534"/>
      <c r="M16" s="424">
        <v>14</v>
      </c>
    </row>
    <row s="21605" customFormat="1" customHeight="1" ht="14.25" hidden="1">
      <c r="A17" s="1703"/>
      <c r="B17" s="1501"/>
      <c r="C17" s="717"/>
      <c r="D17" s="704"/>
      <c r="E17" s="730"/>
      <c r="F17" s="730"/>
      <c r="G17" s="730"/>
      <c r="H17" s="1093"/>
      <c r="I17" s="534"/>
      <c r="K17" s="1965"/>
      <c r="L17" s="1965"/>
      <c r="M17" s="1972">
        <v>0</v>
      </c>
    </row>
    <row customHeight="1" ht="22.049999999999997">
      <c r="C18" s="437"/>
      <c r="D18" s="2550" t="s">
        <v>414</v>
      </c>
      <c r="E18" s="2550"/>
      <c r="F18" s="2550"/>
      <c r="G18" s="2550"/>
      <c r="H18" s="2550"/>
      <c r="I18" s="2730" t="s">
        <v>415</v>
      </c>
      <c r="M18" s="424">
        <v>21</v>
      </c>
    </row>
    <row customHeight="1" ht="22.049999999999997">
      <c r="C19" s="437"/>
      <c r="D19" s="446" t="s">
        <v>88</v>
      </c>
      <c r="E19" s="449" t="s">
        <v>416</v>
      </c>
      <c r="F19" s="449"/>
      <c r="G19" s="449" t="s">
        <v>417</v>
      </c>
      <c r="H19" s="449" t="s">
        <v>504</v>
      </c>
      <c r="I19" s="2730"/>
      <c r="M19" s="424">
        <v>21</v>
      </c>
    </row>
    <row customHeight="1" ht="12" hidden="1">
      <c r="C20" s="437"/>
      <c r="D20" s="428"/>
      <c r="E20" s="428"/>
      <c r="F20" s="428"/>
      <c r="G20" s="428"/>
      <c r="H20" s="428"/>
      <c r="I20" s="428"/>
      <c r="M20" s="424">
        <v>0</v>
      </c>
    </row>
    <row customHeight="1" ht="14.699999999999998">
      <c r="A21" s="2024"/>
      <c r="C21" s="437"/>
      <c r="D21" s="488">
        <v>1</v>
      </c>
      <c r="E21" s="2802" t="s">
        <v>1243</v>
      </c>
      <c r="F21" s="2802"/>
      <c r="G21" s="2802"/>
      <c r="H21" s="2802"/>
      <c r="I21" s="549"/>
      <c r="M21" s="424">
        <v>14</v>
      </c>
    </row>
    <row customHeight="1" ht="21">
      <c r="A22" s="2024"/>
      <c r="C22" s="437"/>
      <c r="D22" s="488" t="s">
        <v>1133</v>
      </c>
      <c r="E22" s="535" t="s">
        <v>1244</v>
      </c>
      <c r="F22" s="539"/>
      <c r="G22" s="2078"/>
      <c r="H22" s="539" t="s">
        <v>420</v>
      </c>
      <c r="I22" s="492" t="s">
        <v>1245</v>
      </c>
      <c r="M22" s="424">
        <v>20</v>
      </c>
    </row>
    <row customHeight="1" ht="60">
      <c r="A23" s="2024"/>
      <c r="C23" s="437"/>
      <c r="D23" s="488" t="s">
        <v>1135</v>
      </c>
      <c r="E23" s="535" t="s">
        <v>1246</v>
      </c>
      <c r="F23" s="539"/>
      <c r="G23" s="598"/>
      <c r="H23" s="554"/>
      <c r="I23" s="599" t="s">
        <v>1247</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39"/>
      <c r="G24" s="539" t="s">
        <v>420</v>
      </c>
      <c r="H24" s="554"/>
      <c r="I24" s="600" t="s">
        <v>743</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1"/>
      <c r="G25" s="2801"/>
      <c r="H25" s="2801"/>
      <c r="I25" s="597"/>
      <c r="M25" s="424">
        <v>46</v>
      </c>
    </row>
    <row customHeight="1" ht="14.699999999999998">
      <c r="A26" s="2024"/>
      <c r="C26" s="437"/>
      <c r="D26" s="488" t="s">
        <v>438</v>
      </c>
      <c r="E26" s="540"/>
      <c r="F26" s="539"/>
      <c r="G26" s="539" t="s">
        <v>420</v>
      </c>
      <c r="H26" s="554"/>
      <c r="I26" s="2510" t="s">
        <v>1248</v>
      </c>
      <c r="M26" s="424">
        <v>14</v>
      </c>
    </row>
    <row customHeight="1" ht="15.75">
      <c r="A27" s="2024" t="s">
        <v>145</v>
      </c>
      <c r="C27" s="437"/>
      <c r="D27" s="450"/>
      <c r="E27" s="544" t="s">
        <v>436</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01"/>
      <c r="G28" s="2801"/>
      <c r="H28" s="2801"/>
      <c r="I28" s="597"/>
      <c r="M28" s="424">
        <v>38</v>
      </c>
    </row>
    <row customHeight="1" ht="21">
      <c r="A29" s="2024"/>
      <c r="C29" s="437"/>
      <c r="D29" s="488" t="s">
        <v>865</v>
      </c>
      <c r="E29" s="546" t="s">
        <v>1238</v>
      </c>
      <c r="F29" s="539"/>
      <c r="G29" s="598"/>
      <c r="H29" s="539" t="s">
        <v>420</v>
      </c>
      <c r="I29" s="2510" t="s">
        <v>1249</v>
      </c>
      <c r="M29" s="424">
        <v>20</v>
      </c>
    </row>
    <row customHeight="1" ht="15.75">
      <c r="A30" s="2024" t="s">
        <v>103</v>
      </c>
      <c r="C30" s="437"/>
      <c r="D30" s="450"/>
      <c r="E30" s="544" t="s">
        <v>436</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01"/>
      <c r="G31" s="2801"/>
      <c r="H31" s="2801"/>
      <c r="I31" s="597"/>
      <c r="M31" s="424">
        <v>30</v>
      </c>
    </row>
    <row customHeight="1" ht="27.299999999999997">
      <c r="A32" s="2024"/>
      <c r="C32" s="437"/>
      <c r="D32" s="488" t="s">
        <v>427</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44"/>
      <c r="G32" s="2744"/>
      <c r="H32" s="2744"/>
      <c r="I32" s="597"/>
      <c r="M32" s="424">
        <v>26</v>
      </c>
    </row>
    <row customHeight="1" ht="14.699999999999998">
      <c r="A33" s="2024"/>
      <c r="C33" s="437"/>
      <c r="D33" s="488" t="s">
        <v>1250</v>
      </c>
      <c r="E33" s="547" t="s">
        <v>1239</v>
      </c>
      <c r="F33" s="539"/>
      <c r="G33" s="598"/>
      <c r="H33" s="539" t="s">
        <v>420</v>
      </c>
      <c r="I33" s="2510" t="s">
        <v>1251</v>
      </c>
      <c r="M33" s="424">
        <v>14</v>
      </c>
    </row>
    <row customHeight="1" ht="15.75">
      <c r="A34" s="2024" t="s">
        <v>90</v>
      </c>
      <c r="C34" s="437"/>
      <c r="D34" s="450"/>
      <c r="E34" s="545" t="s">
        <v>436</v>
      </c>
      <c r="F34" s="541"/>
      <c r="G34" s="541"/>
      <c r="H34" s="542"/>
      <c r="I34" s="2512"/>
      <c r="M34" s="424">
        <v>15</v>
      </c>
    </row>
    <row customHeight="1" ht="25.2">
      <c r="A35" s="2024"/>
      <c r="C35" s="437"/>
      <c r="D35" s="488" t="s">
        <v>993</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44"/>
      <c r="G35" s="2744"/>
      <c r="H35" s="2744"/>
      <c r="I35" s="597"/>
      <c r="M35" s="424">
        <v>24</v>
      </c>
    </row>
    <row customHeight="1" ht="14.699999999999998">
      <c r="A36" s="2024"/>
      <c r="C36" s="437"/>
      <c r="D36" s="488" t="s">
        <v>1252</v>
      </c>
      <c r="E36" s="547" t="s">
        <v>1240</v>
      </c>
      <c r="F36" s="539"/>
      <c r="G36" s="598"/>
      <c r="H36" s="539" t="s">
        <v>420</v>
      </c>
      <c r="I36" s="2484" t="s">
        <v>1253</v>
      </c>
      <c r="M36" s="424">
        <v>14</v>
      </c>
    </row>
    <row customHeight="1" ht="15.75">
      <c r="A37" s="2024" t="s">
        <v>91</v>
      </c>
      <c r="C37" s="437"/>
      <c r="D37" s="450"/>
      <c r="E37" s="545" t="s">
        <v>436</v>
      </c>
      <c r="F37" s="541"/>
      <c r="G37" s="541"/>
      <c r="H37" s="542"/>
      <c r="I37" s="2484"/>
      <c r="M37" s="424">
        <v>15</v>
      </c>
    </row>
    <row customHeight="1" ht="27.299999999999997">
      <c r="A38" s="2024"/>
      <c r="C38" s="437"/>
      <c r="D38" s="488" t="s">
        <v>994</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44"/>
      <c r="G38" s="2744"/>
      <c r="H38" s="2744"/>
      <c r="I38" s="597"/>
      <c r="M38" s="424">
        <v>26</v>
      </c>
    </row>
    <row customHeight="1" ht="14.699999999999998">
      <c r="A39" s="2024"/>
      <c r="C39" s="437"/>
      <c r="D39" s="488" t="s">
        <v>995</v>
      </c>
      <c r="E39" s="547" t="s">
        <v>1241</v>
      </c>
      <c r="F39" s="539"/>
      <c r="G39" s="548"/>
      <c r="H39" s="539" t="s">
        <v>420</v>
      </c>
      <c r="I39" s="2510" t="s">
        <v>1254</v>
      </c>
      <c r="L39" s="496" t="s">
        <v>1242</v>
      </c>
      <c r="M39" s="424">
        <v>14</v>
      </c>
    </row>
    <row customHeight="1" ht="15.75">
      <c r="A40" s="2024" t="s">
        <v>116</v>
      </c>
      <c r="C40" s="437"/>
      <c r="D40" s="450"/>
      <c r="E40" s="545" t="s">
        <v>436</v>
      </c>
      <c r="F40" s="541"/>
      <c r="G40" s="541"/>
      <c r="H40" s="542"/>
      <c r="I40" s="2512"/>
      <c r="M40" s="424">
        <v>15</v>
      </c>
    </row>
    <row s="27034" customFormat="1" customHeight="1" ht="3">
      <c r="A41" s="2024"/>
      <c r="K41" s="537"/>
      <c r="L41" s="537"/>
      <c r="M41" s="481">
        <v>3</v>
      </c>
    </row>
    <row customHeight="1" ht="26.25">
      <c r="D42" s="2022" t="s">
        <v>915</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4DBEA-FB5E-DF48-1E1B-63CBADC1DABB}" mc:Ignorable="x14ac xr xr2 xr3">
  <sheetPr>
    <tabColor theme="6" tint="0.4"/>
  </sheetPr>
  <dimension ref="A1:AH344"/>
  <sheetViews>
    <sheetView topLeftCell="A1" showGridLines="0" zoomScale="90" workbookViewId="0">
      <selection activeCell="K310" sqref="K310"/>
    </sheetView>
  </sheetViews>
  <sheetFormatPr defaultColWidth="10.57421875" customHeight="1" defaultRowHeight="14.25"/>
  <cols>
    <col min="1" max="2" style="27093" width="25.140625" hidden="1" customWidth="1"/>
    <col min="3" max="3" style="27094" width="9.140625" hidden="1" customWidth="1"/>
    <col min="4" max="4" style="22595" width="3.00390625" customWidth="1"/>
    <col min="5" max="5" style="21605" width="6.00390625" customWidth="1"/>
    <col min="6" max="6" style="21605" width="46.7109375" customWidth="1"/>
    <col min="7" max="7" style="21605" width="35.00390625" customWidth="1"/>
    <col min="8" max="8" style="21605" width="3.00390625" customWidth="1"/>
    <col min="9" max="10" style="21605" width="11.00390625" customWidth="1"/>
    <col min="11" max="12" style="21605" width="35.00390625" customWidth="1"/>
    <col min="13" max="13" style="21605" width="84.00390625" customWidth="1"/>
    <col min="14" max="14" style="21605" width="10.00390625" customWidth="1"/>
    <col min="15" max="16" style="21788" width="10.00390625" customWidth="1"/>
    <col min="17" max="33" style="21605" width="10.00390625" customWidth="1"/>
    <col min="34" max="34" style="21605" width="10.57421875" hidden="1"/>
  </cols>
  <sheetData>
    <row s="21605"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21605" customFormat="1" customHeight="1" ht="18.75" hidden="1">
      <c r="A2" s="2121" t="s">
        <v>193</v>
      </c>
      <c r="B2" s="2121" t="s">
        <v>194</v>
      </c>
      <c r="C2" s="710"/>
      <c r="D2" s="685"/>
      <c r="E2" s="1372"/>
      <c r="F2" s="1372"/>
      <c r="G2" s="2768" t="str">
        <f>INDEX(PT_DIFFERENTIATION_NTAR,MATCH(B2,PT_DIFFERENTIATION_NTAR_ID,0))</f>
        <v/>
      </c>
      <c r="H2" s="2205"/>
      <c r="I2" s="2080"/>
      <c r="J2" s="2114"/>
      <c r="K2" s="2206"/>
      <c r="L2" s="2205" t="s">
        <v>420</v>
      </c>
      <c r="M2" s="2216"/>
      <c r="N2" s="675"/>
      <c r="O2" s="1965"/>
      <c r="P2" s="1965"/>
      <c r="AH2" s="1972">
        <v>0</v>
      </c>
    </row>
    <row s="21605" customFormat="1" customHeight="1" ht="18.75" hidden="1">
      <c r="A3" s="2121"/>
      <c r="B3" s="2121"/>
      <c r="C3" s="710" t="s">
        <v>1255</v>
      </c>
      <c r="D3" s="685"/>
      <c r="E3" s="1372"/>
      <c r="F3" s="1372"/>
      <c r="G3" s="2768"/>
      <c r="H3" s="1841"/>
      <c r="I3" s="992" t="s">
        <v>1256</v>
      </c>
      <c r="J3" s="912"/>
      <c r="K3" s="1841"/>
      <c r="L3" s="555"/>
      <c r="M3" s="2216"/>
      <c r="N3" s="675"/>
      <c r="O3" s="1965"/>
      <c r="P3" s="1965"/>
      <c r="AH3" s="1972">
        <v>0</v>
      </c>
    </row>
    <row s="21605"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21605" customFormat="1" customHeight="1" ht="18.75" hidden="1">
      <c r="A5" s="2121" t="s">
        <v>193</v>
      </c>
      <c r="B5" s="2121" t="s">
        <v>194</v>
      </c>
      <c r="C5" s="710"/>
      <c r="D5" s="685"/>
      <c r="E5" s="1372"/>
      <c r="F5" s="1372"/>
      <c r="G5" s="2768" t="str">
        <f>INDEX(PT_DIFFERENTIATION_NTAR,MATCH(B5,PT_DIFFERENTIATION_NTAR_ID,0))</f>
        <v/>
      </c>
      <c r="H5" s="2205"/>
      <c r="I5" s="2080"/>
      <c r="J5" s="2114"/>
      <c r="K5" s="2119"/>
      <c r="L5" s="2205" t="s">
        <v>420</v>
      </c>
      <c r="M5" s="2216"/>
      <c r="N5" s="675"/>
      <c r="O5" s="1965"/>
      <c r="P5" s="1965"/>
      <c r="AH5" s="1972">
        <v>0</v>
      </c>
    </row>
    <row s="21605" customFormat="1" customHeight="1" ht="18.75" hidden="1">
      <c r="A6" s="2121"/>
      <c r="B6" s="2121"/>
      <c r="C6" s="710" t="s">
        <v>1257</v>
      </c>
      <c r="D6" s="685"/>
      <c r="E6" s="1372"/>
      <c r="F6" s="1372"/>
      <c r="G6" s="2768"/>
      <c r="H6" s="1841"/>
      <c r="I6" s="992" t="s">
        <v>1256</v>
      </c>
      <c r="J6" s="912"/>
      <c r="K6" s="1841"/>
      <c r="L6" s="555"/>
      <c r="M6" s="2216"/>
      <c r="N6" s="675"/>
      <c r="O6" s="1965"/>
      <c r="P6" s="1965"/>
      <c r="AH6" s="1972">
        <v>0</v>
      </c>
    </row>
    <row s="21605"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21605" customFormat="1" customHeight="1" ht="56.25" hidden="1">
      <c r="A8" s="2121"/>
      <c r="B8" s="2121"/>
      <c r="C8" s="710"/>
      <c r="D8" s="685"/>
      <c r="E8" s="1372"/>
      <c r="F8" s="1372"/>
      <c r="G8" s="1372"/>
      <c r="H8" s="2112"/>
      <c r="I8" s="2080"/>
      <c r="J8" s="2114"/>
      <c r="K8" s="2206"/>
      <c r="L8" s="2112" t="s">
        <v>420</v>
      </c>
      <c r="M8" s="2216"/>
      <c r="N8" s="675"/>
      <c r="O8" s="1965"/>
      <c r="P8" s="1965"/>
      <c r="AH8" s="1972">
        <v>0</v>
      </c>
    </row>
    <row customHeight="1" ht="14.25" hidden="1">
      <c r="T9" s="738"/>
      <c r="AG9" s="596"/>
      <c r="AH9" s="715">
        <v>0</v>
      </c>
    </row>
    <row s="21605" customFormat="1" customHeight="1" ht="56.25" hidden="1">
      <c r="A10" s="2121"/>
      <c r="B10" s="2121"/>
      <c r="C10" s="710"/>
      <c r="D10" s="685"/>
      <c r="E10" s="1372"/>
      <c r="F10" s="1372"/>
      <c r="G10" s="1372"/>
      <c r="H10" s="2111"/>
      <c r="I10" s="2080"/>
      <c r="J10" s="2114"/>
      <c r="K10" s="2119"/>
      <c r="L10" s="2112" t="s">
        <v>420</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изменении тарифов</v>
      </c>
      <c r="G16" s="2605" t="str">
        <f>IF(TITLE_DATE_PR_CHANGE="",IF(TITLE_DATE_PR="","",TITLE_DATE_PR),TITLE_DATE_PR_CHANGE)</f>
        <v>45408.52040509259</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изменении тарифов</v>
      </c>
      <c r="G17" s="2592" t="str">
        <f>IF(TITLE_NUMBER_PR_CHANGE="",IF(TITLE_NUMBER_PR="","",TITLE_NUMBER_PR),TITLE_NUMBER_PR_CHANGE)</f>
        <v>27-2139</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414</v>
      </c>
      <c r="F19" s="2550"/>
      <c r="G19" s="2550"/>
      <c r="H19" s="2550"/>
      <c r="I19" s="2550"/>
      <c r="J19" s="2550"/>
      <c r="K19" s="2550"/>
      <c r="L19" s="2550"/>
      <c r="M19" s="2730" t="s">
        <v>415</v>
      </c>
      <c r="AH19" s="715">
        <v>21</v>
      </c>
    </row>
    <row customHeight="1" ht="22.049999999999997">
      <c r="D20" s="717"/>
      <c r="E20" s="2618" t="s">
        <v>88</v>
      </c>
      <c r="F20" s="2565" t="s">
        <v>163</v>
      </c>
      <c r="G20" s="2565" t="s">
        <v>164</v>
      </c>
      <c r="H20" s="2727" t="s">
        <v>1258</v>
      </c>
      <c r="I20" s="2728"/>
      <c r="J20" s="2774"/>
      <c r="K20" s="2565" t="s">
        <v>417</v>
      </c>
      <c r="L20" s="2565" t="s">
        <v>504</v>
      </c>
      <c r="M20" s="2730"/>
      <c r="AH20" s="715">
        <v>21</v>
      </c>
    </row>
    <row customHeight="1" ht="22.049999999999997">
      <c r="D21" s="717"/>
      <c r="E21" s="2620"/>
      <c r="F21" s="2566"/>
      <c r="G21" s="2566"/>
      <c r="H21" s="2559" t="s">
        <v>1259</v>
      </c>
      <c r="I21" s="2561"/>
      <c r="J21" s="449" t="s">
        <v>1260</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145</v>
      </c>
      <c r="F23" s="2809" t="str">
        <f>"Предлагаемый метод регулирования"&amp;IF(TEMPLATE_SPHERE="HEAT"," в сфере "&amp;TEMPLATE_SPHERE_RUS,"")</f>
        <v>Предлагаемый метод регулирования</v>
      </c>
      <c r="G23" s="2810"/>
      <c r="H23" s="2802"/>
      <c r="I23" s="2802"/>
      <c r="J23" s="2802"/>
      <c r="K23" s="2810" t="s">
        <v>420</v>
      </c>
      <c r="L23" s="2802"/>
      <c r="M23" s="2110"/>
      <c r="N23" s="675"/>
      <c r="AH23" s="715">
        <v>19</v>
      </c>
    </row>
    <row customHeight="1" ht="60.75" hidden="1">
      <c r="A24" s="2121" t="s">
        <v>193</v>
      </c>
      <c r="B24" s="2121" t="s">
        <v>194</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420</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21605" customFormat="1" customHeight="1" ht="18.75" hidden="1">
      <c r="A25" s="2121"/>
      <c r="B25" s="2121"/>
      <c r="C25" s="710" t="s">
        <v>1255</v>
      </c>
      <c r="D25" s="2807"/>
      <c r="E25" s="2545"/>
      <c r="F25" s="2811"/>
      <c r="G25" s="2768"/>
      <c r="H25" s="1841"/>
      <c r="I25" s="992" t="s">
        <v>1256</v>
      </c>
      <c r="J25" s="912"/>
      <c r="K25" s="1841"/>
      <c r="L25" s="555"/>
      <c r="M25" s="2511"/>
      <c r="N25" s="675"/>
      <c r="O25" s="1965"/>
      <c r="P25" s="1965"/>
      <c r="AH25" s="1972">
        <v>0</v>
      </c>
    </row>
    <row customHeight="1" ht="0.75" hidden="1">
      <c r="A26" s="2121"/>
      <c r="B26" s="2121"/>
      <c r="C26" s="710" t="s">
        <v>1261</v>
      </c>
      <c r="D26" s="2807"/>
      <c r="E26" s="2545"/>
      <c r="F26" s="2724"/>
      <c r="G26" s="741"/>
      <c r="H26" s="1841"/>
      <c r="I26" s="736"/>
      <c r="J26" s="690"/>
      <c r="K26" s="1841"/>
      <c r="L26" s="542"/>
      <c r="M26" s="2511"/>
      <c r="N26" s="675"/>
      <c r="AH26" s="715">
        <v>0</v>
      </c>
    </row>
    <row s="21605" customFormat="1" customHeight="1" ht="45" hidden="1">
      <c r="A27" s="2121" t="s">
        <v>198</v>
      </c>
      <c r="B27" s="2121" t="s">
        <v>199</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420</v>
      </c>
      <c r="M27" s="2511"/>
      <c r="N27" s="675"/>
      <c r="O27" s="1965"/>
      <c r="P27" s="1965"/>
      <c r="AH27" s="1972">
        <v>0</v>
      </c>
    </row>
    <row s="21605" customFormat="1" customHeight="1" ht="18.75" hidden="1">
      <c r="A28" s="2121"/>
      <c r="B28" s="2121"/>
      <c r="C28" s="710" t="s">
        <v>1255</v>
      </c>
      <c r="D28" s="2803"/>
      <c r="E28" s="2804"/>
      <c r="F28" s="2805"/>
      <c r="G28" s="2768"/>
      <c r="H28" s="1841"/>
      <c r="I28" s="992" t="s">
        <v>1256</v>
      </c>
      <c r="J28" s="912"/>
      <c r="K28" s="1841"/>
      <c r="L28" s="555"/>
      <c r="M28" s="2511"/>
      <c r="N28" s="675"/>
      <c r="O28" s="1965"/>
      <c r="P28" s="1965"/>
      <c r="AH28" s="1972">
        <v>0</v>
      </c>
    </row>
    <row s="21605" customFormat="1" customHeight="1" ht="0.75" hidden="1">
      <c r="A29" s="2121"/>
      <c r="B29" s="2121"/>
      <c r="C29" s="710" t="s">
        <v>1261</v>
      </c>
      <c r="D29" s="2803"/>
      <c r="E29" s="2545"/>
      <c r="F29" s="2724"/>
      <c r="G29" s="741"/>
      <c r="H29" s="1841"/>
      <c r="I29" s="992"/>
      <c r="J29" s="912"/>
      <c r="K29" s="1841"/>
      <c r="L29" s="555"/>
      <c r="M29" s="2511"/>
      <c r="N29" s="675"/>
      <c r="O29" s="1965"/>
      <c r="P29" s="1965"/>
      <c r="AH29" s="1972">
        <v>0</v>
      </c>
    </row>
    <row s="21605" customFormat="1" customHeight="1" ht="45" hidden="1">
      <c r="A30" s="2121" t="s">
        <v>205</v>
      </c>
      <c r="B30" s="2121" t="s">
        <v>206</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420</v>
      </c>
      <c r="M30" s="2511"/>
      <c r="N30" s="675"/>
      <c r="O30" s="1965"/>
      <c r="P30" s="1965"/>
      <c r="AH30" s="1972">
        <v>0</v>
      </c>
    </row>
    <row s="21605" customFormat="1" customHeight="1" ht="18.75" hidden="1">
      <c r="A31" s="2121"/>
      <c r="B31" s="2121"/>
      <c r="C31" s="710" t="s">
        <v>1255</v>
      </c>
      <c r="D31" s="2803"/>
      <c r="E31" s="2545"/>
      <c r="F31" s="2724"/>
      <c r="G31" s="2768"/>
      <c r="H31" s="1841"/>
      <c r="I31" s="992" t="s">
        <v>1256</v>
      </c>
      <c r="J31" s="912"/>
      <c r="K31" s="1841"/>
      <c r="L31" s="555"/>
      <c r="M31" s="2511"/>
      <c r="N31" s="675"/>
      <c r="O31" s="1965"/>
      <c r="P31" s="1965"/>
      <c r="AH31" s="1972">
        <v>0</v>
      </c>
    </row>
    <row s="21605" customFormat="1" customHeight="1" ht="0.75" hidden="1">
      <c r="A32" s="2121"/>
      <c r="B32" s="2121"/>
      <c r="C32" s="710" t="s">
        <v>1261</v>
      </c>
      <c r="D32" s="2803"/>
      <c r="E32" s="2545"/>
      <c r="F32" s="2724"/>
      <c r="G32" s="741"/>
      <c r="H32" s="1841"/>
      <c r="I32" s="992"/>
      <c r="J32" s="912"/>
      <c r="K32" s="1841"/>
      <c r="L32" s="555"/>
      <c r="M32" s="2511"/>
      <c r="N32" s="675"/>
      <c r="O32" s="1965"/>
      <c r="P32" s="1965"/>
      <c r="AH32" s="1972">
        <v>0</v>
      </c>
    </row>
    <row s="21605" customFormat="1" customHeight="1" ht="45" hidden="1">
      <c r="A33" s="2121" t="s">
        <v>211</v>
      </c>
      <c r="B33" s="2121" t="s">
        <v>212</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420</v>
      </c>
      <c r="M33" s="2511"/>
      <c r="N33" s="675"/>
      <c r="O33" s="1965"/>
      <c r="P33" s="1965"/>
      <c r="AH33" s="1972">
        <v>0</v>
      </c>
    </row>
    <row s="21605" customFormat="1" customHeight="1" ht="18.75" hidden="1">
      <c r="A34" s="2121"/>
      <c r="B34" s="2121"/>
      <c r="C34" s="710" t="s">
        <v>1255</v>
      </c>
      <c r="D34" s="2803"/>
      <c r="E34" s="2545"/>
      <c r="F34" s="2724"/>
      <c r="G34" s="2768"/>
      <c r="H34" s="1841"/>
      <c r="I34" s="992" t="s">
        <v>1256</v>
      </c>
      <c r="J34" s="912"/>
      <c r="K34" s="1841"/>
      <c r="L34" s="555"/>
      <c r="M34" s="2511"/>
      <c r="N34" s="675"/>
      <c r="O34" s="1965"/>
      <c r="P34" s="1965"/>
      <c r="AH34" s="1972">
        <v>0</v>
      </c>
    </row>
    <row s="21605" customFormat="1" customHeight="1" ht="0.75" hidden="1">
      <c r="A35" s="2121"/>
      <c r="B35" s="2121"/>
      <c r="C35" s="710" t="s">
        <v>1261</v>
      </c>
      <c r="D35" s="2803"/>
      <c r="E35" s="2545"/>
      <c r="F35" s="2724"/>
      <c r="G35" s="741"/>
      <c r="H35" s="1841"/>
      <c r="I35" s="992"/>
      <c r="J35" s="912"/>
      <c r="K35" s="1841"/>
      <c r="L35" s="555"/>
      <c r="M35" s="2511"/>
      <c r="N35" s="675"/>
      <c r="O35" s="1965"/>
      <c r="P35" s="1965"/>
      <c r="AH35" s="1972">
        <v>0</v>
      </c>
    </row>
    <row s="21605" customFormat="1" customHeight="1" ht="18.75" hidden="1">
      <c r="A36" s="2121" t="s">
        <v>217</v>
      </c>
      <c r="B36" s="2121" t="s">
        <v>218</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420</v>
      </c>
      <c r="M36" s="2511"/>
      <c r="N36" s="675"/>
      <c r="O36" s="1965"/>
      <c r="P36" s="1965"/>
      <c r="AH36" s="1972">
        <v>0</v>
      </c>
    </row>
    <row s="21605" customFormat="1" customHeight="1" ht="18.75" hidden="1">
      <c r="A37" s="2121"/>
      <c r="B37" s="2121"/>
      <c r="C37" s="710" t="s">
        <v>1255</v>
      </c>
      <c r="D37" s="2803"/>
      <c r="E37" s="2545"/>
      <c r="F37" s="2724"/>
      <c r="G37" s="2768"/>
      <c r="H37" s="1841"/>
      <c r="I37" s="992" t="s">
        <v>1256</v>
      </c>
      <c r="J37" s="912"/>
      <c r="K37" s="1841"/>
      <c r="L37" s="555"/>
      <c r="M37" s="2511"/>
      <c r="N37" s="675"/>
      <c r="O37" s="1965"/>
      <c r="P37" s="1965"/>
      <c r="AH37" s="1972">
        <v>0</v>
      </c>
    </row>
    <row s="21605" customFormat="1" customHeight="1" ht="0.75" hidden="1">
      <c r="A38" s="2121"/>
      <c r="B38" s="2121"/>
      <c r="C38" s="710" t="s">
        <v>1261</v>
      </c>
      <c r="D38" s="2803"/>
      <c r="E38" s="2545"/>
      <c r="F38" s="2724"/>
      <c r="G38" s="741"/>
      <c r="H38" s="1841"/>
      <c r="I38" s="992"/>
      <c r="J38" s="912"/>
      <c r="K38" s="1841"/>
      <c r="L38" s="555"/>
      <c r="M38" s="2511"/>
      <c r="N38" s="675"/>
      <c r="O38" s="1965"/>
      <c r="P38" s="1965"/>
      <c r="AH38" s="1972">
        <v>0</v>
      </c>
    </row>
    <row s="21605" customFormat="1" customHeight="1" ht="18.75" hidden="1">
      <c r="A39" s="2121" t="s">
        <v>223</v>
      </c>
      <c r="B39" s="2121" t="s">
        <v>224</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420</v>
      </c>
      <c r="M39" s="2511"/>
      <c r="N39" s="675"/>
      <c r="O39" s="1965"/>
      <c r="P39" s="1965"/>
      <c r="AH39" s="1972">
        <v>0</v>
      </c>
    </row>
    <row s="21605" customFormat="1" customHeight="1" ht="18.75" hidden="1">
      <c r="A40" s="2121"/>
      <c r="B40" s="2121"/>
      <c r="C40" s="710" t="s">
        <v>1255</v>
      </c>
      <c r="D40" s="2803"/>
      <c r="E40" s="2545"/>
      <c r="F40" s="2724"/>
      <c r="G40" s="2768"/>
      <c r="H40" s="1841"/>
      <c r="I40" s="992" t="s">
        <v>1256</v>
      </c>
      <c r="J40" s="912"/>
      <c r="K40" s="1841"/>
      <c r="L40" s="555"/>
      <c r="M40" s="2511"/>
      <c r="N40" s="675"/>
      <c r="O40" s="1965"/>
      <c r="P40" s="1965"/>
      <c r="AH40" s="1972">
        <v>0</v>
      </c>
    </row>
    <row s="21605" customFormat="1" customHeight="1" ht="0.75" hidden="1">
      <c r="A41" s="2121"/>
      <c r="B41" s="2121"/>
      <c r="C41" s="710" t="s">
        <v>1261</v>
      </c>
      <c r="D41" s="2803"/>
      <c r="E41" s="2545"/>
      <c r="F41" s="2724"/>
      <c r="G41" s="741"/>
      <c r="H41" s="1841"/>
      <c r="I41" s="992"/>
      <c r="J41" s="912"/>
      <c r="K41" s="1841"/>
      <c r="L41" s="555"/>
      <c r="M41" s="2511"/>
      <c r="N41" s="675"/>
      <c r="O41" s="1965"/>
      <c r="P41" s="1965"/>
      <c r="AH41" s="1972">
        <v>0</v>
      </c>
    </row>
    <row s="21605" customFormat="1" customHeight="1" ht="18.75" hidden="1">
      <c r="A42" s="2121" t="s">
        <v>229</v>
      </c>
      <c r="B42" s="2121" t="s">
        <v>230</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420</v>
      </c>
      <c r="M42" s="2511"/>
      <c r="N42" s="675"/>
      <c r="O42" s="1965"/>
      <c r="P42" s="1965"/>
      <c r="AH42" s="1972">
        <v>0</v>
      </c>
    </row>
    <row s="21605" customFormat="1" customHeight="1" ht="18.75" hidden="1">
      <c r="A43" s="2121"/>
      <c r="B43" s="2121"/>
      <c r="C43" s="710" t="s">
        <v>1255</v>
      </c>
      <c r="D43" s="2803"/>
      <c r="E43" s="2545"/>
      <c r="F43" s="2724"/>
      <c r="G43" s="2768"/>
      <c r="H43" s="1841"/>
      <c r="I43" s="992" t="s">
        <v>1256</v>
      </c>
      <c r="J43" s="912"/>
      <c r="K43" s="1841"/>
      <c r="L43" s="555"/>
      <c r="M43" s="2511"/>
      <c r="N43" s="675"/>
      <c r="O43" s="1965"/>
      <c r="P43" s="1965"/>
      <c r="AH43" s="1972">
        <v>0</v>
      </c>
    </row>
    <row s="21605" customFormat="1" customHeight="1" ht="0.75" hidden="1">
      <c r="A44" s="2121"/>
      <c r="B44" s="2121"/>
      <c r="C44" s="710" t="s">
        <v>1261</v>
      </c>
      <c r="D44" s="2803"/>
      <c r="E44" s="2545"/>
      <c r="F44" s="2724"/>
      <c r="G44" s="741"/>
      <c r="H44" s="1841"/>
      <c r="I44" s="992"/>
      <c r="J44" s="912"/>
      <c r="K44" s="1841"/>
      <c r="L44" s="555"/>
      <c r="M44" s="2511"/>
      <c r="N44" s="675"/>
      <c r="O44" s="1965"/>
      <c r="P44" s="1965"/>
      <c r="AH44" s="1972">
        <v>0</v>
      </c>
    </row>
    <row s="21605" customFormat="1" customHeight="1" ht="18.75" hidden="1">
      <c r="A45" s="2121" t="s">
        <v>235</v>
      </c>
      <c r="B45" s="2121" t="s">
        <v>236</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420</v>
      </c>
      <c r="M45" s="2511"/>
      <c r="N45" s="675"/>
      <c r="O45" s="1965"/>
      <c r="P45" s="1965"/>
      <c r="AH45" s="1972">
        <v>0</v>
      </c>
    </row>
    <row s="21605" customFormat="1" customHeight="1" ht="18.75" hidden="1">
      <c r="A46" s="2121"/>
      <c r="B46" s="2121"/>
      <c r="C46" s="710" t="s">
        <v>1255</v>
      </c>
      <c r="D46" s="2803"/>
      <c r="E46" s="2545"/>
      <c r="F46" s="2724"/>
      <c r="G46" s="2768"/>
      <c r="H46" s="1841"/>
      <c r="I46" s="992" t="s">
        <v>1256</v>
      </c>
      <c r="J46" s="912"/>
      <c r="K46" s="1841"/>
      <c r="L46" s="555"/>
      <c r="M46" s="2511"/>
      <c r="N46" s="675"/>
      <c r="O46" s="1965"/>
      <c r="P46" s="1965"/>
      <c r="AH46" s="1972">
        <v>0</v>
      </c>
    </row>
    <row s="21605" customFormat="1" customHeight="1" ht="0.75" hidden="1">
      <c r="A47" s="2121"/>
      <c r="B47" s="2121"/>
      <c r="C47" s="710" t="s">
        <v>1261</v>
      </c>
      <c r="D47" s="2803"/>
      <c r="E47" s="2545"/>
      <c r="F47" s="2724"/>
      <c r="G47" s="741"/>
      <c r="H47" s="1841"/>
      <c r="I47" s="992"/>
      <c r="J47" s="912"/>
      <c r="K47" s="1841"/>
      <c r="L47" s="555"/>
      <c r="M47" s="2511"/>
      <c r="N47" s="675"/>
      <c r="O47" s="1965"/>
      <c r="P47" s="1965"/>
      <c r="AH47" s="1972">
        <v>0</v>
      </c>
    </row>
    <row s="21605" customFormat="1" customHeight="1" ht="18.75" hidden="1">
      <c r="A48" s="2121" t="s">
        <v>241</v>
      </c>
      <c r="B48" s="2121" t="s">
        <v>242</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420</v>
      </c>
      <c r="M48" s="2511"/>
      <c r="N48" s="675"/>
      <c r="O48" s="1965"/>
      <c r="P48" s="1965"/>
      <c r="AH48" s="1972">
        <v>0</v>
      </c>
    </row>
    <row s="21605" customFormat="1" customHeight="1" ht="18.75" hidden="1">
      <c r="A49" s="2121"/>
      <c r="B49" s="2121"/>
      <c r="C49" s="710" t="s">
        <v>1255</v>
      </c>
      <c r="D49" s="2803"/>
      <c r="E49" s="2545"/>
      <c r="F49" s="2724"/>
      <c r="G49" s="2768"/>
      <c r="H49" s="1841"/>
      <c r="I49" s="992" t="s">
        <v>1256</v>
      </c>
      <c r="J49" s="912"/>
      <c r="K49" s="1841"/>
      <c r="L49" s="555"/>
      <c r="M49" s="2511"/>
      <c r="N49" s="675"/>
      <c r="O49" s="1965"/>
      <c r="P49" s="1965"/>
      <c r="AH49" s="1972">
        <v>0</v>
      </c>
    </row>
    <row s="21605" customFormat="1" customHeight="1" ht="0.75" hidden="1">
      <c r="A50" s="2121"/>
      <c r="B50" s="2121"/>
      <c r="C50" s="710" t="s">
        <v>1261</v>
      </c>
      <c r="D50" s="2803"/>
      <c r="E50" s="2545"/>
      <c r="F50" s="2724"/>
      <c r="G50" s="741"/>
      <c r="H50" s="1841"/>
      <c r="I50" s="992"/>
      <c r="J50" s="912"/>
      <c r="K50" s="1841"/>
      <c r="L50" s="555"/>
      <c r="M50" s="2511"/>
      <c r="N50" s="675"/>
      <c r="O50" s="1965"/>
      <c r="P50" s="1965"/>
      <c r="AH50" s="1972">
        <v>0</v>
      </c>
    </row>
    <row s="21605" customFormat="1" customHeight="1" ht="18.75">
      <c r="A51" s="2121" t="s">
        <v>264</v>
      </c>
      <c r="B51" s="2121" t="s">
        <v>265</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Тариф на услуги водоснабжения</v>
      </c>
      <c r="H51" s="2203"/>
      <c r="I51" s="5100">
        <v>45658.601168981484</v>
      </c>
      <c r="J51" s="20802">
        <v>47118.601273148146</v>
      </c>
      <c r="K51" s="2206" t="s">
        <v>1262</v>
      </c>
      <c r="L51" s="2203" t="s">
        <v>420</v>
      </c>
      <c r="M51" s="2511"/>
      <c r="N51" s="675"/>
      <c r="O51" s="1965"/>
      <c r="P51" s="1965"/>
      <c r="AH51" s="1972">
        <v>0</v>
      </c>
    </row>
    <row s="21605" customFormat="1" customHeight="1" ht="18.75">
      <c r="A52" s="2121"/>
      <c r="B52" s="2121"/>
      <c r="C52" s="710" t="s">
        <v>1255</v>
      </c>
      <c r="D52" s="2803"/>
      <c r="E52" s="2545"/>
      <c r="F52" s="2724"/>
      <c r="G52" s="2768"/>
      <c r="H52" s="1841"/>
      <c r="I52" s="992" t="s">
        <v>1256</v>
      </c>
      <c r="J52" s="912"/>
      <c r="K52" s="1841"/>
      <c r="L52" s="555"/>
      <c r="M52" s="2511"/>
      <c r="N52" s="675"/>
      <c r="O52" s="1965"/>
      <c r="P52" s="1965"/>
      <c r="AH52" s="1972">
        <v>0</v>
      </c>
    </row>
    <row s="21605" customFormat="1" customHeight="1" ht="30">
      <c r="A53" s="2121"/>
      <c r="B53" s="2121"/>
      <c r="C53" s="710" t="s">
        <v>1261</v>
      </c>
      <c r="D53" s="2803"/>
      <c r="E53" s="2545"/>
      <c r="F53" s="2724"/>
      <c r="G53" s="741"/>
      <c r="H53" s="1841"/>
      <c r="I53" s="992"/>
      <c r="J53" s="912"/>
      <c r="K53" s="1841"/>
      <c r="L53" s="555"/>
      <c r="M53" s="2511"/>
      <c r="N53" s="675"/>
      <c r="O53" s="1965"/>
      <c r="P53" s="1965"/>
      <c r="AH53" s="1972">
        <v>0</v>
      </c>
    </row>
    <row s="21605" customFormat="1" customHeight="1" ht="18.75">
      <c r="A54" s="2121" t="s">
        <v>344</v>
      </c>
      <c r="B54" s="2121" t="s">
        <v>345</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3">
        <v>45658.67717592593</v>
      </c>
      <c r="J54" s="20802">
        <v>47118.67732638889</v>
      </c>
      <c r="K54" s="2206" t="s">
        <v>1262</v>
      </c>
      <c r="L54" s="2203" t="s">
        <v>420</v>
      </c>
      <c r="M54" s="2511"/>
      <c r="N54" s="675"/>
      <c r="O54" s="1965"/>
      <c r="P54" s="1965"/>
      <c r="AH54" s="1972">
        <v>0</v>
      </c>
    </row>
    <row s="21605" customFormat="1" customHeight="1" ht="18.75">
      <c r="A55" s="2121"/>
      <c r="B55" s="2121"/>
      <c r="C55" s="710" t="s">
        <v>1255</v>
      </c>
      <c r="D55" s="2803"/>
      <c r="E55" s="2545"/>
      <c r="F55" s="2724"/>
      <c r="G55" s="2768"/>
      <c r="H55" s="1841"/>
      <c r="I55" s="992" t="s">
        <v>1256</v>
      </c>
      <c r="J55" s="912"/>
      <c r="K55" s="1841"/>
      <c r="L55" s="555"/>
      <c r="M55" s="2511"/>
      <c r="N55" s="675"/>
      <c r="O55" s="1965"/>
      <c r="P55" s="1965"/>
      <c r="AH55" s="1972">
        <v>0</v>
      </c>
    </row>
    <row s="21605" customFormat="1" customHeight="1" ht="0.75">
      <c r="A56" s="2121"/>
      <c r="B56" s="2121"/>
      <c r="C56" s="710" t="s">
        <v>1261</v>
      </c>
      <c r="D56" s="2803"/>
      <c r="E56" s="2545"/>
      <c r="F56" s="2724"/>
      <c r="G56" s="741"/>
      <c r="H56" s="1841"/>
      <c r="I56" s="992"/>
      <c r="J56" s="912"/>
      <c r="K56" s="1841"/>
      <c r="L56" s="555"/>
      <c r="M56" s="2511"/>
      <c r="N56" s="675"/>
      <c r="O56" s="1965"/>
      <c r="P56" s="1965"/>
      <c r="AH56" s="1972">
        <v>0</v>
      </c>
    </row>
    <row s="21605" customFormat="1" customHeight="1" ht="18.75" hidden="1">
      <c r="A57" s="2121" t="s">
        <v>349</v>
      </c>
      <c r="B57" s="2121" t="s">
        <v>350</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420</v>
      </c>
      <c r="M57" s="2511"/>
      <c r="N57" s="675"/>
      <c r="O57" s="1965"/>
      <c r="P57" s="1965"/>
      <c r="AH57" s="1972">
        <v>0</v>
      </c>
    </row>
    <row s="21605" customFormat="1" customHeight="1" ht="18.75" hidden="1">
      <c r="A58" s="2121"/>
      <c r="B58" s="2121"/>
      <c r="C58" s="710" t="s">
        <v>1255</v>
      </c>
      <c r="D58" s="2803"/>
      <c r="E58" s="2545"/>
      <c r="F58" s="2724"/>
      <c r="G58" s="2768"/>
      <c r="H58" s="1841"/>
      <c r="I58" s="992" t="s">
        <v>1256</v>
      </c>
      <c r="J58" s="912"/>
      <c r="K58" s="1841"/>
      <c r="L58" s="555"/>
      <c r="M58" s="2511"/>
      <c r="N58" s="675"/>
      <c r="O58" s="1965"/>
      <c r="P58" s="1965"/>
      <c r="AH58" s="1972">
        <v>0</v>
      </c>
    </row>
    <row s="21605" customFormat="1" customHeight="1" ht="0.75" hidden="1">
      <c r="A59" s="2121"/>
      <c r="B59" s="2121"/>
      <c r="C59" s="710" t="s">
        <v>1261</v>
      </c>
      <c r="D59" s="2803"/>
      <c r="E59" s="2545"/>
      <c r="F59" s="2724"/>
      <c r="G59" s="741"/>
      <c r="H59" s="1841"/>
      <c r="I59" s="992"/>
      <c r="J59" s="912"/>
      <c r="K59" s="1841"/>
      <c r="L59" s="555"/>
      <c r="M59" s="2511"/>
      <c r="N59" s="675"/>
      <c r="O59" s="1965"/>
      <c r="P59" s="1965"/>
      <c r="AH59" s="1972">
        <v>0</v>
      </c>
    </row>
    <row s="21605" customFormat="1" customHeight="1" ht="18.75" hidden="1">
      <c r="A60" s="2121" t="s">
        <v>354</v>
      </c>
      <c r="B60" s="2121" t="s">
        <v>355</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420</v>
      </c>
      <c r="M60" s="2511"/>
      <c r="N60" s="675"/>
      <c r="O60" s="1965"/>
      <c r="P60" s="1965"/>
      <c r="AH60" s="1972">
        <v>0</v>
      </c>
    </row>
    <row s="21605" customFormat="1" customHeight="1" ht="18.75" hidden="1">
      <c r="A61" s="2121"/>
      <c r="B61" s="2121"/>
      <c r="C61" s="710" t="s">
        <v>1255</v>
      </c>
      <c r="D61" s="2803"/>
      <c r="E61" s="2545"/>
      <c r="F61" s="2724"/>
      <c r="G61" s="2768"/>
      <c r="H61" s="1841"/>
      <c r="I61" s="992" t="s">
        <v>1256</v>
      </c>
      <c r="J61" s="912"/>
      <c r="K61" s="1841"/>
      <c r="L61" s="555"/>
      <c r="M61" s="2511"/>
      <c r="N61" s="675"/>
      <c r="O61" s="1965"/>
      <c r="P61" s="1965"/>
      <c r="AH61" s="1972">
        <v>0</v>
      </c>
    </row>
    <row s="21605" customFormat="1" customHeight="1" ht="0.75" hidden="1">
      <c r="A62" s="2121"/>
      <c r="B62" s="2121"/>
      <c r="C62" s="710" t="s">
        <v>1261</v>
      </c>
      <c r="D62" s="2803"/>
      <c r="E62" s="2545"/>
      <c r="F62" s="2724"/>
      <c r="G62" s="741"/>
      <c r="H62" s="1841"/>
      <c r="I62" s="992"/>
      <c r="J62" s="912"/>
      <c r="K62" s="1841"/>
      <c r="L62" s="555"/>
      <c r="M62" s="2511"/>
      <c r="N62" s="675"/>
      <c r="O62" s="1965"/>
      <c r="P62" s="1965"/>
      <c r="AH62" s="1972">
        <v>0</v>
      </c>
    </row>
    <row s="21605" customFormat="1" customHeight="1" ht="18.75" hidden="1">
      <c r="A63" s="2121" t="s">
        <v>359</v>
      </c>
      <c r="B63" s="2121" t="s">
        <v>360</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420</v>
      </c>
      <c r="M63" s="2511"/>
      <c r="N63" s="675"/>
      <c r="O63" s="1965"/>
      <c r="P63" s="1965"/>
      <c r="AH63" s="1972">
        <v>0</v>
      </c>
    </row>
    <row s="21605" customFormat="1" customHeight="1" ht="18.75" hidden="1">
      <c r="A64" s="2121"/>
      <c r="B64" s="2121"/>
      <c r="C64" s="710" t="s">
        <v>1255</v>
      </c>
      <c r="D64" s="2803"/>
      <c r="E64" s="2545"/>
      <c r="F64" s="2724"/>
      <c r="G64" s="2768"/>
      <c r="H64" s="1841"/>
      <c r="I64" s="992" t="s">
        <v>1256</v>
      </c>
      <c r="J64" s="912"/>
      <c r="K64" s="1841"/>
      <c r="L64" s="555"/>
      <c r="M64" s="2511"/>
      <c r="N64" s="675"/>
      <c r="O64" s="1965"/>
      <c r="P64" s="1965"/>
      <c r="AH64" s="1972">
        <v>0</v>
      </c>
    </row>
    <row s="21605" customFormat="1" customHeight="1" ht="0.75" hidden="1">
      <c r="A65" s="2121"/>
      <c r="B65" s="2121"/>
      <c r="C65" s="710" t="s">
        <v>1261</v>
      </c>
      <c r="D65" s="2803"/>
      <c r="E65" s="2545"/>
      <c r="F65" s="2724"/>
      <c r="G65" s="741"/>
      <c r="H65" s="1841"/>
      <c r="I65" s="992"/>
      <c r="J65" s="912"/>
      <c r="K65" s="1841"/>
      <c r="L65" s="555"/>
      <c r="M65" s="2511"/>
      <c r="N65" s="675"/>
      <c r="O65" s="1965"/>
      <c r="P65" s="1965"/>
      <c r="AH65" s="1972">
        <v>0</v>
      </c>
    </row>
    <row s="21605" customFormat="1" customHeight="1" ht="18.75" hidden="1">
      <c r="A66" s="2121" t="s">
        <v>364</v>
      </c>
      <c r="B66" s="2121" t="s">
        <v>365</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420</v>
      </c>
      <c r="M66" s="2511"/>
      <c r="N66" s="675"/>
      <c r="O66" s="1965"/>
      <c r="P66" s="1965"/>
      <c r="AH66" s="1972">
        <v>0</v>
      </c>
    </row>
    <row s="21605" customFormat="1" customHeight="1" ht="18.75" hidden="1">
      <c r="A67" s="2121"/>
      <c r="B67" s="2121"/>
      <c r="C67" s="710" t="s">
        <v>1255</v>
      </c>
      <c r="D67" s="2803"/>
      <c r="E67" s="2545"/>
      <c r="F67" s="2724"/>
      <c r="G67" s="2768"/>
      <c r="H67" s="1841"/>
      <c r="I67" s="992" t="s">
        <v>1256</v>
      </c>
      <c r="J67" s="912"/>
      <c r="K67" s="1841"/>
      <c r="L67" s="555"/>
      <c r="M67" s="2511"/>
      <c r="N67" s="675"/>
      <c r="O67" s="1965"/>
      <c r="P67" s="1965"/>
      <c r="AH67" s="1972">
        <v>0</v>
      </c>
    </row>
    <row s="21605" customFormat="1" customHeight="1" ht="0.75" hidden="1">
      <c r="A68" s="2121"/>
      <c r="B68" s="2121"/>
      <c r="C68" s="710" t="s">
        <v>1261</v>
      </c>
      <c r="D68" s="2803"/>
      <c r="E68" s="2545"/>
      <c r="F68" s="2724"/>
      <c r="G68" s="741"/>
      <c r="H68" s="1841"/>
      <c r="I68" s="992"/>
      <c r="J68" s="912"/>
      <c r="K68" s="1841"/>
      <c r="L68" s="555"/>
      <c r="M68" s="2511"/>
      <c r="N68" s="675"/>
      <c r="O68" s="1965"/>
      <c r="P68" s="1965"/>
      <c r="AH68" s="1972">
        <v>0</v>
      </c>
    </row>
    <row s="21605" customFormat="1" customHeight="1" ht="18.75" hidden="1">
      <c r="A69" s="2121" t="s">
        <v>369</v>
      </c>
      <c r="B69" s="2121" t="s">
        <v>370</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420</v>
      </c>
      <c r="M69" s="2511"/>
      <c r="N69" s="675"/>
      <c r="O69" s="1965"/>
      <c r="P69" s="1965"/>
      <c r="AH69" s="1972">
        <v>0</v>
      </c>
    </row>
    <row s="21605" customFormat="1" customHeight="1" ht="18.75" hidden="1">
      <c r="A70" s="2121"/>
      <c r="B70" s="2121"/>
      <c r="C70" s="710" t="s">
        <v>1255</v>
      </c>
      <c r="D70" s="2803"/>
      <c r="E70" s="2545"/>
      <c r="F70" s="2724"/>
      <c r="G70" s="2768"/>
      <c r="H70" s="1841"/>
      <c r="I70" s="992" t="s">
        <v>1256</v>
      </c>
      <c r="J70" s="912"/>
      <c r="K70" s="1841"/>
      <c r="L70" s="555"/>
      <c r="M70" s="2511"/>
      <c r="N70" s="675"/>
      <c r="O70" s="1965"/>
      <c r="P70" s="1965"/>
      <c r="AH70" s="1972">
        <v>0</v>
      </c>
    </row>
    <row s="21605" customFormat="1" customHeight="1" ht="0.75" hidden="1">
      <c r="A71" s="2121"/>
      <c r="B71" s="2121"/>
      <c r="C71" s="710" t="s">
        <v>1261</v>
      </c>
      <c r="D71" s="2803"/>
      <c r="E71" s="2545"/>
      <c r="F71" s="2724"/>
      <c r="G71" s="741"/>
      <c r="H71" s="1841"/>
      <c r="I71" s="992"/>
      <c r="J71" s="912"/>
      <c r="K71" s="1841"/>
      <c r="L71" s="555"/>
      <c r="M71" s="2511"/>
      <c r="N71" s="675"/>
      <c r="O71" s="1965"/>
      <c r="P71" s="1965"/>
      <c r="AH71" s="1972">
        <v>0</v>
      </c>
    </row>
    <row s="21605" customFormat="1" customHeight="1" ht="18.75" hidden="1">
      <c r="A72" s="2121" t="s">
        <v>374</v>
      </c>
      <c r="B72" s="2121" t="s">
        <v>375</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420</v>
      </c>
      <c r="M72" s="2511"/>
      <c r="N72" s="675"/>
      <c r="O72" s="1965"/>
      <c r="P72" s="1965"/>
      <c r="AH72" s="1972">
        <v>0</v>
      </c>
    </row>
    <row s="21605" customFormat="1" customHeight="1" ht="18.75" hidden="1">
      <c r="A73" s="2121"/>
      <c r="B73" s="2121"/>
      <c r="C73" s="710" t="s">
        <v>1255</v>
      </c>
      <c r="D73" s="2803"/>
      <c r="E73" s="2545"/>
      <c r="F73" s="2724"/>
      <c r="G73" s="2768"/>
      <c r="H73" s="1841"/>
      <c r="I73" s="992" t="s">
        <v>1256</v>
      </c>
      <c r="J73" s="912"/>
      <c r="K73" s="1841"/>
      <c r="L73" s="555"/>
      <c r="M73" s="2511"/>
      <c r="N73" s="675"/>
      <c r="O73" s="1965"/>
      <c r="P73" s="1965"/>
      <c r="AH73" s="1972">
        <v>0</v>
      </c>
    </row>
    <row s="21605" customFormat="1" customHeight="1" ht="0.75" hidden="1">
      <c r="A74" s="2121"/>
      <c r="B74" s="2121"/>
      <c r="C74" s="710" t="s">
        <v>1261</v>
      </c>
      <c r="D74" s="2803"/>
      <c r="E74" s="2545"/>
      <c r="F74" s="2724"/>
      <c r="G74" s="741"/>
      <c r="H74" s="1841"/>
      <c r="I74" s="992"/>
      <c r="J74" s="912"/>
      <c r="K74" s="1841"/>
      <c r="L74" s="555"/>
      <c r="M74" s="2511"/>
      <c r="N74" s="675"/>
      <c r="O74" s="1965"/>
      <c r="P74" s="1965"/>
      <c r="AH74" s="1972">
        <v>0</v>
      </c>
    </row>
    <row s="21605" customFormat="1" customHeight="1" ht="18.75" hidden="1">
      <c r="A75" s="2121" t="s">
        <v>379</v>
      </c>
      <c r="B75" s="2121" t="s">
        <v>380</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420</v>
      </c>
      <c r="M75" s="2511"/>
      <c r="N75" s="675"/>
      <c r="O75" s="1965"/>
      <c r="P75" s="1965"/>
      <c r="AH75" s="1972">
        <v>0</v>
      </c>
    </row>
    <row s="21605" customFormat="1" customHeight="1" ht="18.75" hidden="1">
      <c r="A76" s="2121"/>
      <c r="B76" s="2121"/>
      <c r="C76" s="710" t="s">
        <v>1255</v>
      </c>
      <c r="D76" s="2803"/>
      <c r="E76" s="2545"/>
      <c r="F76" s="2724"/>
      <c r="G76" s="2768"/>
      <c r="H76" s="1841"/>
      <c r="I76" s="992" t="s">
        <v>1256</v>
      </c>
      <c r="J76" s="912"/>
      <c r="K76" s="1841"/>
      <c r="L76" s="555"/>
      <c r="M76" s="2511"/>
      <c r="N76" s="675"/>
      <c r="O76" s="1965"/>
      <c r="P76" s="1965"/>
      <c r="AH76" s="1972">
        <v>0</v>
      </c>
    </row>
    <row s="21605" customFormat="1" customHeight="1" ht="0.75" hidden="1">
      <c r="A77" s="2121"/>
      <c r="B77" s="2121"/>
      <c r="C77" s="710" t="s">
        <v>1261</v>
      </c>
      <c r="D77" s="2803"/>
      <c r="E77" s="2545"/>
      <c r="F77" s="2724"/>
      <c r="G77" s="741"/>
      <c r="H77" s="1841"/>
      <c r="I77" s="992"/>
      <c r="J77" s="912"/>
      <c r="K77" s="1841"/>
      <c r="L77" s="555"/>
      <c r="M77" s="2511"/>
      <c r="N77" s="675"/>
      <c r="O77" s="1965"/>
      <c r="P77" s="1965"/>
      <c r="AH77" s="1972">
        <v>0</v>
      </c>
    </row>
    <row s="21605" customFormat="1" customHeight="1" ht="18.75" hidden="1">
      <c r="A78" s="2121" t="s">
        <v>384</v>
      </c>
      <c r="B78" s="2121" t="s">
        <v>385</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420</v>
      </c>
      <c r="M78" s="2511"/>
      <c r="N78" s="675"/>
      <c r="O78" s="1965"/>
      <c r="P78" s="1965"/>
      <c r="AH78" s="1972">
        <v>0</v>
      </c>
    </row>
    <row s="21605" customFormat="1" customHeight="1" ht="18.75" hidden="1">
      <c r="A79" s="2121"/>
      <c r="B79" s="2121"/>
      <c r="C79" s="710" t="s">
        <v>1255</v>
      </c>
      <c r="D79" s="2803"/>
      <c r="E79" s="2545"/>
      <c r="F79" s="2724"/>
      <c r="G79" s="2768"/>
      <c r="H79" s="1841"/>
      <c r="I79" s="992" t="s">
        <v>1256</v>
      </c>
      <c r="J79" s="912"/>
      <c r="K79" s="1841"/>
      <c r="L79" s="555"/>
      <c r="M79" s="2511"/>
      <c r="N79" s="675"/>
      <c r="O79" s="1965"/>
      <c r="P79" s="1965"/>
      <c r="AH79" s="1972">
        <v>0</v>
      </c>
    </row>
    <row s="21605" customFormat="1" customHeight="1" ht="0.75" hidden="1">
      <c r="A80" s="2121"/>
      <c r="B80" s="2121"/>
      <c r="C80" s="710" t="s">
        <v>1261</v>
      </c>
      <c r="D80" s="2803"/>
      <c r="E80" s="2545"/>
      <c r="F80" s="2724"/>
      <c r="G80" s="741"/>
      <c r="H80" s="1841"/>
      <c r="I80" s="992"/>
      <c r="J80" s="912"/>
      <c r="K80" s="1841"/>
      <c r="L80" s="555"/>
      <c r="M80" s="2511"/>
      <c r="N80" s="675"/>
      <c r="O80" s="1965"/>
      <c r="P80" s="1965"/>
      <c r="AH80" s="1972">
        <v>0</v>
      </c>
    </row>
    <row s="21605" customFormat="1" customHeight="1" ht="18.75" hidden="1">
      <c r="A81" s="2121" t="s">
        <v>389</v>
      </c>
      <c r="B81" s="2121" t="s">
        <v>390</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420</v>
      </c>
      <c r="M81" s="2511"/>
      <c r="N81" s="675"/>
      <c r="O81" s="1965"/>
      <c r="P81" s="1965"/>
      <c r="AH81" s="1972">
        <v>0</v>
      </c>
    </row>
    <row s="21605" customFormat="1" customHeight="1" ht="18.75" hidden="1">
      <c r="A82" s="2121"/>
      <c r="B82" s="2121"/>
      <c r="C82" s="710" t="s">
        <v>1255</v>
      </c>
      <c r="D82" s="2803"/>
      <c r="E82" s="2545"/>
      <c r="F82" s="2724"/>
      <c r="G82" s="2768"/>
      <c r="H82" s="1841"/>
      <c r="I82" s="992" t="s">
        <v>1256</v>
      </c>
      <c r="J82" s="912"/>
      <c r="K82" s="1841"/>
      <c r="L82" s="555"/>
      <c r="M82" s="2511"/>
      <c r="N82" s="675"/>
      <c r="O82" s="1965"/>
      <c r="P82" s="1965"/>
      <c r="AH82" s="1972">
        <v>0</v>
      </c>
    </row>
    <row s="21605" customFormat="1" customHeight="1" ht="1.05">
      <c r="A83" s="2121"/>
      <c r="B83" s="2121"/>
      <c r="C83" s="710" t="s">
        <v>1261</v>
      </c>
      <c r="D83" s="2803"/>
      <c r="E83" s="2545"/>
      <c r="F83" s="2724"/>
      <c r="G83" s="741"/>
      <c r="H83" s="1841"/>
      <c r="I83" s="992"/>
      <c r="J83" s="912"/>
      <c r="K83" s="1841"/>
      <c r="L83" s="555"/>
      <c r="M83" s="2511"/>
      <c r="N83" s="675"/>
      <c r="O83" s="1965"/>
      <c r="P83" s="1965"/>
      <c r="AH83" s="1972">
        <v>1</v>
      </c>
    </row>
    <row customHeight="1" ht="19.95">
      <c r="A84" s="2121"/>
      <c r="B84" s="2121"/>
      <c r="D84" s="717"/>
      <c r="E84" s="488" t="s">
        <v>103</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01"/>
      <c r="H84" s="2801"/>
      <c r="I84" s="2801"/>
      <c r="J84" s="2801"/>
      <c r="K84" s="2801"/>
      <c r="L84" s="2801"/>
      <c r="M84" s="638"/>
      <c r="N84" s="675"/>
      <c r="AH84" s="715">
        <v>19</v>
      </c>
    </row>
    <row customHeight="1" ht="36">
      <c r="A85" s="2121"/>
      <c r="B85" s="2121"/>
      <c r="D85" s="717"/>
      <c r="E85" s="740"/>
      <c r="F85" s="539" t="s">
        <v>420</v>
      </c>
      <c r="G85" s="539" t="s">
        <v>420</v>
      </c>
      <c r="H85" s="2559" t="s">
        <v>420</v>
      </c>
      <c r="I85" s="2561"/>
      <c r="J85" s="539" t="s">
        <v>420</v>
      </c>
      <c r="K85" s="539" t="s">
        <v>420</v>
      </c>
      <c r="L85" s="5103" t="s">
        <v>1263</v>
      </c>
      <c r="M85" s="686" t="s">
        <v>1264</v>
      </c>
      <c r="N85" s="675"/>
      <c r="AH85" s="715">
        <v>34</v>
      </c>
    </row>
    <row customHeight="1" ht="19.95">
      <c r="A86" s="2121"/>
      <c r="B86" s="2121"/>
      <c r="D86" s="717"/>
      <c r="E86" s="488" t="s">
        <v>90</v>
      </c>
      <c r="F86" s="2801" t="s">
        <v>1265</v>
      </c>
      <c r="G86" s="2801"/>
      <c r="H86" s="2801"/>
      <c r="I86" s="2801"/>
      <c r="J86" s="2801"/>
      <c r="K86" s="2801"/>
      <c r="L86" s="2801"/>
      <c r="M86" s="638"/>
      <c r="N86" s="675"/>
      <c r="AH86" s="715">
        <v>19</v>
      </c>
    </row>
    <row s="21605" customFormat="1" customHeight="1" ht="60.75" hidden="1">
      <c r="A87" s="2121" t="s">
        <v>193</v>
      </c>
      <c r="B87" s="2121" t="s">
        <v>194</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420</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21605" customFormat="1" customHeight="1" ht="18.75" hidden="1">
      <c r="A88" s="2121"/>
      <c r="B88" s="2121"/>
      <c r="C88" s="710" t="s">
        <v>1257</v>
      </c>
      <c r="D88" s="2803"/>
      <c r="E88" s="2545"/>
      <c r="F88" s="2724"/>
      <c r="G88" s="2768"/>
      <c r="H88" s="1841"/>
      <c r="I88" s="992" t="s">
        <v>1256</v>
      </c>
      <c r="J88" s="912"/>
      <c r="K88" s="1841"/>
      <c r="L88" s="555"/>
      <c r="M88" s="2511"/>
      <c r="N88" s="675"/>
      <c r="O88" s="1965"/>
      <c r="P88" s="1965"/>
      <c r="AH88" s="1972">
        <v>0</v>
      </c>
    </row>
    <row s="21605" customFormat="1" customHeight="1" ht="0.75" hidden="1">
      <c r="A89" s="2121"/>
      <c r="B89" s="2121"/>
      <c r="C89" s="710" t="s">
        <v>1266</v>
      </c>
      <c r="D89" s="2803"/>
      <c r="E89" s="2545"/>
      <c r="F89" s="2724"/>
      <c r="G89" s="741"/>
      <c r="H89" s="1841"/>
      <c r="I89" s="992"/>
      <c r="J89" s="912"/>
      <c r="K89" s="1841"/>
      <c r="L89" s="555"/>
      <c r="M89" s="2511"/>
      <c r="N89" s="675"/>
      <c r="O89" s="1965"/>
      <c r="P89" s="1965"/>
      <c r="AH89" s="1972">
        <v>0</v>
      </c>
    </row>
    <row s="21605" customFormat="1" customHeight="1" ht="45" hidden="1">
      <c r="A90" s="2121" t="s">
        <v>198</v>
      </c>
      <c r="B90" s="2121" t="s">
        <v>199</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420</v>
      </c>
      <c r="M90" s="2512"/>
      <c r="N90" s="675"/>
      <c r="O90" s="1965"/>
      <c r="P90" s="1965"/>
      <c r="AH90" s="1972">
        <v>0</v>
      </c>
    </row>
    <row s="21605" customFormat="1" customHeight="1" ht="18.75" hidden="1">
      <c r="A91" s="2121"/>
      <c r="B91" s="2121"/>
      <c r="C91" s="710" t="s">
        <v>1257</v>
      </c>
      <c r="D91" s="2803"/>
      <c r="E91" s="2545"/>
      <c r="F91" s="2724"/>
      <c r="G91" s="2768"/>
      <c r="H91" s="1841"/>
      <c r="I91" s="992" t="s">
        <v>1256</v>
      </c>
      <c r="J91" s="912"/>
      <c r="K91" s="1841"/>
      <c r="L91" s="555"/>
      <c r="M91" s="2202"/>
      <c r="N91" s="675"/>
      <c r="O91" s="1965"/>
      <c r="P91" s="1965"/>
      <c r="AH91" s="1972">
        <v>0</v>
      </c>
    </row>
    <row s="21605" customFormat="1" customHeight="1" ht="0.75" hidden="1">
      <c r="A92" s="2121"/>
      <c r="B92" s="2121"/>
      <c r="C92" s="710" t="s">
        <v>1266</v>
      </c>
      <c r="D92" s="2803"/>
      <c r="E92" s="2545"/>
      <c r="F92" s="2724"/>
      <c r="G92" s="741"/>
      <c r="H92" s="1841"/>
      <c r="I92" s="992"/>
      <c r="J92" s="912"/>
      <c r="K92" s="1841"/>
      <c r="L92" s="555"/>
      <c r="M92" s="682"/>
      <c r="N92" s="675"/>
      <c r="O92" s="1965"/>
      <c r="P92" s="1965"/>
      <c r="AH92" s="1972">
        <v>0</v>
      </c>
    </row>
    <row s="21605" customFormat="1" customHeight="1" ht="45" hidden="1">
      <c r="A93" s="2121" t="s">
        <v>205</v>
      </c>
      <c r="B93" s="2121" t="s">
        <v>206</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420</v>
      </c>
      <c r="M93" s="682"/>
      <c r="N93" s="675"/>
      <c r="O93" s="1965"/>
      <c r="P93" s="1965"/>
      <c r="AH93" s="1972">
        <v>0</v>
      </c>
    </row>
    <row s="21605" customFormat="1" customHeight="1" ht="18.75" hidden="1">
      <c r="A94" s="2121"/>
      <c r="B94" s="2121"/>
      <c r="C94" s="710" t="s">
        <v>1257</v>
      </c>
      <c r="D94" s="2803"/>
      <c r="E94" s="2545"/>
      <c r="F94" s="2724"/>
      <c r="G94" s="2768"/>
      <c r="H94" s="1841"/>
      <c r="I94" s="992" t="s">
        <v>1256</v>
      </c>
      <c r="J94" s="912"/>
      <c r="K94" s="1841"/>
      <c r="L94" s="555"/>
      <c r="M94" s="682"/>
      <c r="N94" s="675"/>
      <c r="O94" s="1965"/>
      <c r="P94" s="1965"/>
      <c r="AH94" s="1972">
        <v>0</v>
      </c>
    </row>
    <row s="21605" customFormat="1" customHeight="1" ht="0.75" hidden="1">
      <c r="A95" s="2121"/>
      <c r="B95" s="2121"/>
      <c r="C95" s="710" t="s">
        <v>1266</v>
      </c>
      <c r="D95" s="2803"/>
      <c r="E95" s="2545"/>
      <c r="F95" s="2724"/>
      <c r="G95" s="741"/>
      <c r="H95" s="1841"/>
      <c r="I95" s="992"/>
      <c r="J95" s="912"/>
      <c r="K95" s="1841"/>
      <c r="L95" s="555"/>
      <c r="M95" s="682"/>
      <c r="N95" s="675"/>
      <c r="O95" s="1965"/>
      <c r="P95" s="1965"/>
      <c r="AH95" s="1972">
        <v>0</v>
      </c>
    </row>
    <row s="21605" customFormat="1" customHeight="1" ht="45" hidden="1">
      <c r="A96" s="2121" t="s">
        <v>211</v>
      </c>
      <c r="B96" s="2121" t="s">
        <v>212</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420</v>
      </c>
      <c r="M96" s="682"/>
      <c r="N96" s="675"/>
      <c r="O96" s="1965"/>
      <c r="P96" s="1965"/>
      <c r="AH96" s="1972">
        <v>0</v>
      </c>
    </row>
    <row s="21605" customFormat="1" customHeight="1" ht="18.75" hidden="1">
      <c r="A97" s="2121"/>
      <c r="B97" s="2121"/>
      <c r="C97" s="710" t="s">
        <v>1257</v>
      </c>
      <c r="D97" s="2803"/>
      <c r="E97" s="2545"/>
      <c r="F97" s="2724"/>
      <c r="G97" s="2768"/>
      <c r="H97" s="1841"/>
      <c r="I97" s="992" t="s">
        <v>1256</v>
      </c>
      <c r="J97" s="912"/>
      <c r="K97" s="1841"/>
      <c r="L97" s="555"/>
      <c r="M97" s="682"/>
      <c r="N97" s="675"/>
      <c r="O97" s="1965"/>
      <c r="P97" s="1965"/>
      <c r="AH97" s="1972">
        <v>0</v>
      </c>
    </row>
    <row s="21605" customFormat="1" customHeight="1" ht="0.75" hidden="1">
      <c r="A98" s="2121"/>
      <c r="B98" s="2121"/>
      <c r="C98" s="710" t="s">
        <v>1266</v>
      </c>
      <c r="D98" s="2803"/>
      <c r="E98" s="2545"/>
      <c r="F98" s="2724"/>
      <c r="G98" s="741"/>
      <c r="H98" s="1841"/>
      <c r="I98" s="992"/>
      <c r="J98" s="912"/>
      <c r="K98" s="1841"/>
      <c r="L98" s="555"/>
      <c r="M98" s="682"/>
      <c r="N98" s="675"/>
      <c r="O98" s="1965"/>
      <c r="P98" s="1965"/>
      <c r="AH98" s="1972">
        <v>0</v>
      </c>
    </row>
    <row s="21605" customFormat="1" customHeight="1" ht="18.75" hidden="1">
      <c r="A99" s="2121" t="s">
        <v>217</v>
      </c>
      <c r="B99" s="2121" t="s">
        <v>218</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420</v>
      </c>
      <c r="M99" s="682"/>
      <c r="N99" s="675"/>
      <c r="O99" s="1965"/>
      <c r="P99" s="1965"/>
      <c r="AH99" s="1972">
        <v>0</v>
      </c>
    </row>
    <row s="21605" customFormat="1" customHeight="1" ht="18.75" hidden="1">
      <c r="A100" s="2121"/>
      <c r="B100" s="2121"/>
      <c r="C100" s="710" t="s">
        <v>1257</v>
      </c>
      <c r="D100" s="2803"/>
      <c r="E100" s="2545"/>
      <c r="F100" s="2724"/>
      <c r="G100" s="2768"/>
      <c r="H100" s="1841"/>
      <c r="I100" s="992" t="s">
        <v>1256</v>
      </c>
      <c r="J100" s="912"/>
      <c r="K100" s="1841"/>
      <c r="L100" s="555"/>
      <c r="M100" s="682"/>
      <c r="N100" s="675"/>
      <c r="O100" s="1965"/>
      <c r="P100" s="1965"/>
      <c r="AH100" s="1972">
        <v>0</v>
      </c>
    </row>
    <row s="21605" customFormat="1" customHeight="1" ht="0.75" hidden="1">
      <c r="A101" s="2121"/>
      <c r="B101" s="2121"/>
      <c r="C101" s="710" t="s">
        <v>1266</v>
      </c>
      <c r="D101" s="2803"/>
      <c r="E101" s="2545"/>
      <c r="F101" s="2724"/>
      <c r="G101" s="741"/>
      <c r="H101" s="1841"/>
      <c r="I101" s="992"/>
      <c r="J101" s="912"/>
      <c r="K101" s="1841"/>
      <c r="L101" s="555"/>
      <c r="M101" s="682"/>
      <c r="N101" s="675"/>
      <c r="O101" s="1965"/>
      <c r="P101" s="1965"/>
      <c r="AH101" s="1972">
        <v>0</v>
      </c>
    </row>
    <row s="21605" customFormat="1" customHeight="1" ht="18.75" hidden="1">
      <c r="A102" s="2121" t="s">
        <v>223</v>
      </c>
      <c r="B102" s="2121" t="s">
        <v>224</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420</v>
      </c>
      <c r="M102" s="682"/>
      <c r="N102" s="675"/>
      <c r="O102" s="1965"/>
      <c r="P102" s="1965"/>
      <c r="AH102" s="1972">
        <v>0</v>
      </c>
    </row>
    <row s="21605" customFormat="1" customHeight="1" ht="18.75" hidden="1">
      <c r="A103" s="2121"/>
      <c r="B103" s="2121"/>
      <c r="C103" s="710" t="s">
        <v>1257</v>
      </c>
      <c r="D103" s="2803"/>
      <c r="E103" s="2545"/>
      <c r="F103" s="2724"/>
      <c r="G103" s="2768"/>
      <c r="H103" s="1841"/>
      <c r="I103" s="992" t="s">
        <v>1256</v>
      </c>
      <c r="J103" s="912"/>
      <c r="K103" s="1841"/>
      <c r="L103" s="555"/>
      <c r="M103" s="682"/>
      <c r="N103" s="675"/>
      <c r="O103" s="1965"/>
      <c r="P103" s="1965"/>
      <c r="AH103" s="1972">
        <v>0</v>
      </c>
    </row>
    <row s="21605" customFormat="1" customHeight="1" ht="0.75" hidden="1">
      <c r="A104" s="2121"/>
      <c r="B104" s="2121"/>
      <c r="C104" s="710" t="s">
        <v>1266</v>
      </c>
      <c r="D104" s="2803"/>
      <c r="E104" s="2545"/>
      <c r="F104" s="2724"/>
      <c r="G104" s="741"/>
      <c r="H104" s="1841"/>
      <c r="I104" s="992"/>
      <c r="J104" s="912"/>
      <c r="K104" s="1841"/>
      <c r="L104" s="555"/>
      <c r="M104" s="682"/>
      <c r="N104" s="675"/>
      <c r="O104" s="1965"/>
      <c r="P104" s="1965"/>
      <c r="AH104" s="1972">
        <v>0</v>
      </c>
    </row>
    <row s="21605" customFormat="1" customHeight="1" ht="18.75" hidden="1">
      <c r="A105" s="2121" t="s">
        <v>229</v>
      </c>
      <c r="B105" s="2121" t="s">
        <v>230</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420</v>
      </c>
      <c r="M105" s="682"/>
      <c r="N105" s="675"/>
      <c r="O105" s="1965"/>
      <c r="P105" s="1965"/>
      <c r="AH105" s="1972">
        <v>0</v>
      </c>
    </row>
    <row s="21605" customFormat="1" customHeight="1" ht="18.75" hidden="1">
      <c r="A106" s="2121"/>
      <c r="B106" s="2121"/>
      <c r="C106" s="710" t="s">
        <v>1257</v>
      </c>
      <c r="D106" s="2803"/>
      <c r="E106" s="2545"/>
      <c r="F106" s="2724"/>
      <c r="G106" s="2768"/>
      <c r="H106" s="1841"/>
      <c r="I106" s="992" t="s">
        <v>1256</v>
      </c>
      <c r="J106" s="912"/>
      <c r="K106" s="1841"/>
      <c r="L106" s="555"/>
      <c r="M106" s="682"/>
      <c r="N106" s="675"/>
      <c r="O106" s="1965"/>
      <c r="P106" s="1965"/>
      <c r="AH106" s="1972">
        <v>0</v>
      </c>
    </row>
    <row s="21605" customFormat="1" customHeight="1" ht="0.75" hidden="1">
      <c r="A107" s="2121"/>
      <c r="B107" s="2121"/>
      <c r="C107" s="710" t="s">
        <v>1266</v>
      </c>
      <c r="D107" s="2803"/>
      <c r="E107" s="2545"/>
      <c r="F107" s="2724"/>
      <c r="G107" s="741"/>
      <c r="H107" s="1841"/>
      <c r="I107" s="992"/>
      <c r="J107" s="912"/>
      <c r="K107" s="1841"/>
      <c r="L107" s="555"/>
      <c r="M107" s="682"/>
      <c r="N107" s="675"/>
      <c r="O107" s="1965"/>
      <c r="P107" s="1965"/>
      <c r="AH107" s="1972">
        <v>0</v>
      </c>
    </row>
    <row s="21605" customFormat="1" customHeight="1" ht="18.75" hidden="1">
      <c r="A108" s="2121" t="s">
        <v>235</v>
      </c>
      <c r="B108" s="2121" t="s">
        <v>236</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420</v>
      </c>
      <c r="M108" s="682"/>
      <c r="N108" s="675"/>
      <c r="O108" s="1965"/>
      <c r="P108" s="1965"/>
      <c r="AH108" s="1972">
        <v>0</v>
      </c>
    </row>
    <row s="21605" customFormat="1" customHeight="1" ht="18.75" hidden="1">
      <c r="A109" s="2121"/>
      <c r="B109" s="2121"/>
      <c r="C109" s="710" t="s">
        <v>1257</v>
      </c>
      <c r="D109" s="2803"/>
      <c r="E109" s="2545"/>
      <c r="F109" s="2724"/>
      <c r="G109" s="2768"/>
      <c r="H109" s="1841"/>
      <c r="I109" s="992" t="s">
        <v>1256</v>
      </c>
      <c r="J109" s="912"/>
      <c r="K109" s="1841"/>
      <c r="L109" s="555"/>
      <c r="M109" s="682"/>
      <c r="N109" s="675"/>
      <c r="O109" s="1965"/>
      <c r="P109" s="1965"/>
      <c r="AH109" s="1972">
        <v>0</v>
      </c>
    </row>
    <row s="21605" customFormat="1" customHeight="1" ht="0.75" hidden="1">
      <c r="A110" s="2121"/>
      <c r="B110" s="2121"/>
      <c r="C110" s="710" t="s">
        <v>1266</v>
      </c>
      <c r="D110" s="2803"/>
      <c r="E110" s="2545"/>
      <c r="F110" s="2724"/>
      <c r="G110" s="741"/>
      <c r="H110" s="1841"/>
      <c r="I110" s="992"/>
      <c r="J110" s="912"/>
      <c r="K110" s="1841"/>
      <c r="L110" s="555"/>
      <c r="M110" s="682"/>
      <c r="N110" s="675"/>
      <c r="O110" s="1965"/>
      <c r="P110" s="1965"/>
      <c r="AH110" s="1972">
        <v>0</v>
      </c>
    </row>
    <row s="21605" customFormat="1" customHeight="1" ht="18.75" hidden="1">
      <c r="A111" s="2121" t="s">
        <v>241</v>
      </c>
      <c r="B111" s="2121" t="s">
        <v>242</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420</v>
      </c>
      <c r="M111" s="682"/>
      <c r="N111" s="675"/>
      <c r="O111" s="1965"/>
      <c r="P111" s="1965"/>
      <c r="AH111" s="1972">
        <v>0</v>
      </c>
    </row>
    <row s="21605" customFormat="1" customHeight="1" ht="18.75" hidden="1">
      <c r="A112" s="2121"/>
      <c r="B112" s="2121"/>
      <c r="C112" s="710" t="s">
        <v>1257</v>
      </c>
      <c r="D112" s="2803"/>
      <c r="E112" s="2545"/>
      <c r="F112" s="2724"/>
      <c r="G112" s="2768"/>
      <c r="H112" s="1841"/>
      <c r="I112" s="992" t="s">
        <v>1256</v>
      </c>
      <c r="J112" s="912"/>
      <c r="K112" s="1841"/>
      <c r="L112" s="555"/>
      <c r="M112" s="682"/>
      <c r="N112" s="675"/>
      <c r="O112" s="1965"/>
      <c r="P112" s="1965"/>
      <c r="AH112" s="1972">
        <v>0</v>
      </c>
    </row>
    <row s="21605" customFormat="1" customHeight="1" ht="0.75" hidden="1">
      <c r="A113" s="2121"/>
      <c r="B113" s="2121"/>
      <c r="C113" s="710" t="s">
        <v>1266</v>
      </c>
      <c r="D113" s="2803"/>
      <c r="E113" s="2545"/>
      <c r="F113" s="2724"/>
      <c r="G113" s="741"/>
      <c r="H113" s="1841"/>
      <c r="I113" s="992"/>
      <c r="J113" s="912"/>
      <c r="K113" s="1841"/>
      <c r="L113" s="555"/>
      <c r="M113" s="682"/>
      <c r="N113" s="675"/>
      <c r="O113" s="1965"/>
      <c r="P113" s="1965"/>
      <c r="AH113" s="1972">
        <v>0</v>
      </c>
    </row>
    <row s="21605" customFormat="1" customHeight="1" ht="27.75">
      <c r="A114" s="2121" t="s">
        <v>264</v>
      </c>
      <c r="B114" s="2121" t="s">
        <v>265</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Тариф на услуги водоснабжения</v>
      </c>
      <c r="H114" s="2203"/>
      <c r="I114" s="5100">
        <v>45658.6141087963</v>
      </c>
      <c r="J114" s="8238">
        <v>46022.614224537036</v>
      </c>
      <c r="K114" s="2119">
        <v>484570.03</v>
      </c>
      <c r="L114" s="2203" t="s">
        <v>420</v>
      </c>
      <c r="M114" s="682"/>
      <c r="N114" s="675"/>
      <c r="O114" s="1965"/>
      <c r="P114" s="1965"/>
      <c r="AH114" s="1972">
        <v>0</v>
      </c>
    </row>
    <row s="27075" customFormat="1" customHeight="1" ht="29.25">
      <c r="A115" s="7417"/>
      <c r="B115" s="7417"/>
      <c r="C115" s="8239"/>
      <c r="D115" s="8240"/>
      <c r="E115" s="8241"/>
      <c r="F115" s="8241"/>
      <c r="G115" s="8241"/>
      <c r="H115" s="7180" t="s">
        <v>104</v>
      </c>
      <c r="I115" s="8242">
        <v>46023.69684027778</v>
      </c>
      <c r="J115" s="8238">
        <v>46387.69695601852</v>
      </c>
      <c r="K115" s="8243">
        <v>457990.3</v>
      </c>
      <c r="L115" s="7182" t="s">
        <v>420</v>
      </c>
      <c r="M115" s="8244"/>
      <c r="N115" s="8245"/>
      <c r="O115" s="7293"/>
      <c r="P115" s="7293"/>
      <c r="Q115" s="6995"/>
      <c r="R115" s="6995"/>
      <c r="S115" s="6995"/>
      <c r="T115" s="6995"/>
      <c r="U115" s="6995"/>
      <c r="V115" s="6995"/>
      <c r="W115" s="6995"/>
      <c r="X115" s="6995"/>
      <c r="Y115" s="6995"/>
      <c r="Z115" s="6995"/>
      <c r="AA115" s="6995"/>
      <c r="AB115" s="6995"/>
      <c r="AC115" s="6995"/>
      <c r="AD115" s="6995"/>
      <c r="AE115" s="6995"/>
      <c r="AF115" s="6995"/>
      <c r="AG115" s="6995"/>
      <c r="AH115" s="6995">
        <v>0</v>
      </c>
    </row>
    <row s="27075" customFormat="1" customHeight="1" ht="29.25">
      <c r="A116" s="7417"/>
      <c r="B116" s="7417"/>
      <c r="C116" s="8239"/>
      <c r="D116" s="8240"/>
      <c r="E116" s="8241"/>
      <c r="F116" s="8241"/>
      <c r="G116" s="8241"/>
      <c r="H116" s="7180" t="s">
        <v>104</v>
      </c>
      <c r="I116" s="8242">
        <v>46388.6971412037</v>
      </c>
      <c r="J116" s="8238">
        <v>46752.697233796294</v>
      </c>
      <c r="K116" s="8243">
        <v>470551.68</v>
      </c>
      <c r="L116" s="7182" t="s">
        <v>420</v>
      </c>
      <c r="M116" s="8244"/>
      <c r="N116" s="8245"/>
      <c r="O116" s="7293"/>
      <c r="P116" s="7293"/>
      <c r="Q116" s="6995"/>
      <c r="R116" s="6995"/>
      <c r="S116" s="6995"/>
      <c r="T116" s="6995"/>
      <c r="U116" s="6995"/>
      <c r="V116" s="6995"/>
      <c r="W116" s="6995"/>
      <c r="X116" s="6995"/>
      <c r="Y116" s="6995"/>
      <c r="Z116" s="6995"/>
      <c r="AA116" s="6995"/>
      <c r="AB116" s="6995"/>
      <c r="AC116" s="6995"/>
      <c r="AD116" s="6995"/>
      <c r="AE116" s="6995"/>
      <c r="AF116" s="6995"/>
      <c r="AG116" s="6995"/>
      <c r="AH116" s="6995">
        <v>0</v>
      </c>
    </row>
    <row s="27075" customFormat="1" customHeight="1" ht="22.5">
      <c r="A117" s="7417"/>
      <c r="B117" s="7417"/>
      <c r="C117" s="8239"/>
      <c r="D117" s="8240"/>
      <c r="E117" s="8241"/>
      <c r="F117" s="8241"/>
      <c r="G117" s="8241"/>
      <c r="H117" s="7180" t="s">
        <v>104</v>
      </c>
      <c r="I117" s="8242">
        <v>46753.697384259256</v>
      </c>
      <c r="J117" s="8238">
        <v>47118.697488425925</v>
      </c>
      <c r="K117" s="8243">
        <v>483484.89</v>
      </c>
      <c r="L117" s="7182" t="s">
        <v>420</v>
      </c>
      <c r="M117" s="8244"/>
      <c r="N117" s="8245"/>
      <c r="O117" s="7293"/>
      <c r="P117" s="7293"/>
      <c r="Q117" s="6995"/>
      <c r="R117" s="6995"/>
      <c r="S117" s="6995"/>
      <c r="T117" s="6995"/>
      <c r="U117" s="6995"/>
      <c r="V117" s="6995"/>
      <c r="W117" s="6995"/>
      <c r="X117" s="6995"/>
      <c r="Y117" s="6995"/>
      <c r="Z117" s="6995"/>
      <c r="AA117" s="6995"/>
      <c r="AB117" s="6995"/>
      <c r="AC117" s="6995"/>
      <c r="AD117" s="6995"/>
      <c r="AE117" s="6995"/>
      <c r="AF117" s="6995"/>
      <c r="AG117" s="6995"/>
      <c r="AH117" s="6995">
        <v>0</v>
      </c>
    </row>
    <row s="21605" customFormat="1" customHeight="1" ht="18.75">
      <c r="A118" s="2121"/>
      <c r="B118" s="2121"/>
      <c r="C118" s="710" t="s">
        <v>1257</v>
      </c>
      <c r="D118" s="2803"/>
      <c r="E118" s="2545"/>
      <c r="F118" s="2724"/>
      <c r="G118" s="2768"/>
      <c r="H118" s="1841"/>
      <c r="I118" s="992" t="s">
        <v>1256</v>
      </c>
      <c r="J118" s="912"/>
      <c r="K118" s="1841"/>
      <c r="L118" s="555"/>
      <c r="M118" s="682"/>
      <c r="N118" s="675"/>
      <c r="O118" s="1965"/>
      <c r="P118" s="1965"/>
      <c r="AH118" s="1972">
        <v>0</v>
      </c>
    </row>
    <row s="21605" customFormat="1" customHeight="1" ht="0.75">
      <c r="A119" s="2121"/>
      <c r="B119" s="2121"/>
      <c r="C119" s="710" t="s">
        <v>1266</v>
      </c>
      <c r="D119" s="2803"/>
      <c r="E119" s="2545"/>
      <c r="F119" s="2724"/>
      <c r="G119" s="741"/>
      <c r="H119" s="1841"/>
      <c r="I119" s="992"/>
      <c r="J119" s="912"/>
      <c r="K119" s="1841"/>
      <c r="L119" s="555"/>
      <c r="M119" s="682"/>
      <c r="N119" s="675"/>
      <c r="O119" s="1965"/>
      <c r="P119" s="1965"/>
      <c r="AH119" s="1972">
        <v>0</v>
      </c>
    </row>
    <row s="21605" customFormat="1" customHeight="1" ht="25.5">
      <c r="A120" s="2121" t="s">
        <v>344</v>
      </c>
      <c r="B120" s="2121" t="s">
        <v>345</v>
      </c>
      <c r="C120" s="710"/>
      <c r="D120" s="2803"/>
      <c r="E120" s="2545"/>
      <c r="F120" s="2724" t="str">
        <f>INDEX(PT_DIFFERENTIATION_VTAR,MATCH(A120,PT_DIFFERENTIATION_VTAR_ID,0))</f>
        <v>Тариф на техническую воду</v>
      </c>
      <c r="G120" s="2768" t="str">
        <f>INDEX(PT_DIFFERENTIATION_NTAR,MATCH(B120,PT_DIFFERENTIATION_NTAR_ID,0))</f>
        <v/>
      </c>
      <c r="H120" s="2203"/>
      <c r="I120" s="20803">
        <v>45658.66724537037</v>
      </c>
      <c r="J120" s="20802">
        <v>46022.667395833334</v>
      </c>
      <c r="K120" s="2119">
        <v>6747.79</v>
      </c>
      <c r="L120" s="2203" t="s">
        <v>420</v>
      </c>
      <c r="M120" s="682"/>
      <c r="N120" s="675"/>
      <c r="O120" s="1965"/>
      <c r="P120" s="1965"/>
      <c r="AH120" s="1972">
        <v>0</v>
      </c>
    </row>
    <row s="23088" customFormat="1" customHeight="1" ht="25.5">
      <c r="A121" s="16953"/>
      <c r="B121" s="16953"/>
      <c r="C121" s="20816"/>
      <c r="D121" s="20817"/>
      <c r="E121" s="20818"/>
      <c r="F121" s="20818"/>
      <c r="G121" s="20818"/>
      <c r="H121" s="19987" t="s">
        <v>104</v>
      </c>
      <c r="I121" s="20803">
        <v>46023.66761574074</v>
      </c>
      <c r="J121" s="20802">
        <v>46387.66806712963</v>
      </c>
      <c r="K121" s="20819">
        <v>6429.23</v>
      </c>
      <c r="L121" s="19989" t="s">
        <v>420</v>
      </c>
      <c r="M121" s="20820"/>
      <c r="N121" s="20821"/>
      <c r="O121" s="16820"/>
      <c r="P121" s="16820"/>
      <c r="Q121" s="16821"/>
      <c r="R121" s="16821"/>
      <c r="S121" s="16821"/>
      <c r="T121" s="16821"/>
      <c r="U121" s="16821"/>
      <c r="V121" s="16821"/>
      <c r="W121" s="16821"/>
      <c r="X121" s="16821"/>
      <c r="Y121" s="16821"/>
      <c r="Z121" s="16821"/>
      <c r="AA121" s="16821"/>
      <c r="AB121" s="16821"/>
      <c r="AC121" s="16821"/>
      <c r="AD121" s="16821"/>
      <c r="AE121" s="16821"/>
      <c r="AF121" s="16821"/>
      <c r="AG121" s="16821"/>
      <c r="AH121" s="16821">
        <v>0</v>
      </c>
    </row>
    <row s="23088" customFormat="1" customHeight="1" ht="56.25">
      <c r="A122" s="16953"/>
      <c r="B122" s="16953"/>
      <c r="C122" s="20816"/>
      <c r="D122" s="20817"/>
      <c r="E122" s="20818"/>
      <c r="F122" s="20818"/>
      <c r="G122" s="20818"/>
      <c r="H122" s="19987" t="s">
        <v>104</v>
      </c>
      <c r="I122" s="20803">
        <v>46388.66826388889</v>
      </c>
      <c r="J122" s="20802">
        <v>46752.66840277778</v>
      </c>
      <c r="K122" s="20819">
        <v>6618.91</v>
      </c>
      <c r="L122" s="19989" t="s">
        <v>420</v>
      </c>
      <c r="M122" s="20820"/>
      <c r="N122" s="20821"/>
      <c r="O122" s="16820"/>
      <c r="P122" s="16820"/>
      <c r="Q122" s="16821"/>
      <c r="R122" s="16821"/>
      <c r="S122" s="16821"/>
      <c r="T122" s="16821"/>
      <c r="U122" s="16821"/>
      <c r="V122" s="16821"/>
      <c r="W122" s="16821"/>
      <c r="X122" s="16821"/>
      <c r="Y122" s="16821"/>
      <c r="Z122" s="16821"/>
      <c r="AA122" s="16821"/>
      <c r="AB122" s="16821"/>
      <c r="AC122" s="16821"/>
      <c r="AD122" s="16821"/>
      <c r="AE122" s="16821"/>
      <c r="AF122" s="16821"/>
      <c r="AG122" s="16821"/>
      <c r="AH122" s="16821">
        <v>0</v>
      </c>
    </row>
    <row s="23088" customFormat="1" customHeight="1" ht="56.25">
      <c r="A123" s="16953"/>
      <c r="B123" s="16953"/>
      <c r="C123" s="20816"/>
      <c r="D123" s="20817"/>
      <c r="E123" s="20818"/>
      <c r="F123" s="20818"/>
      <c r="G123" s="20818"/>
      <c r="H123" s="19987" t="s">
        <v>104</v>
      </c>
      <c r="I123" s="20803">
        <v>46753.668645833335</v>
      </c>
      <c r="J123" s="20802">
        <v>47118.66878472222</v>
      </c>
      <c r="K123" s="20819">
        <v>6814.21</v>
      </c>
      <c r="L123" s="19989" t="s">
        <v>420</v>
      </c>
      <c r="M123" s="20820"/>
      <c r="N123" s="20821"/>
      <c r="O123" s="16820"/>
      <c r="P123" s="16820"/>
      <c r="Q123" s="16821"/>
      <c r="R123" s="16821"/>
      <c r="S123" s="16821"/>
      <c r="T123" s="16821"/>
      <c r="U123" s="16821"/>
      <c r="V123" s="16821"/>
      <c r="W123" s="16821"/>
      <c r="X123" s="16821"/>
      <c r="Y123" s="16821"/>
      <c r="Z123" s="16821"/>
      <c r="AA123" s="16821"/>
      <c r="AB123" s="16821"/>
      <c r="AC123" s="16821"/>
      <c r="AD123" s="16821"/>
      <c r="AE123" s="16821"/>
      <c r="AF123" s="16821"/>
      <c r="AG123" s="16821"/>
      <c r="AH123" s="16821">
        <v>0</v>
      </c>
    </row>
    <row s="21605" customFormat="1" customHeight="1" ht="18.75">
      <c r="A124" s="2121"/>
      <c r="B124" s="2121"/>
      <c r="C124" s="710" t="s">
        <v>1257</v>
      </c>
      <c r="D124" s="2803"/>
      <c r="E124" s="2545"/>
      <c r="F124" s="2724"/>
      <c r="G124" s="2768"/>
      <c r="H124" s="1841"/>
      <c r="I124" s="992" t="s">
        <v>1256</v>
      </c>
      <c r="J124" s="912"/>
      <c r="K124" s="1841"/>
      <c r="L124" s="555"/>
      <c r="M124" s="682"/>
      <c r="N124" s="675"/>
      <c r="O124" s="1965"/>
      <c r="P124" s="1965"/>
      <c r="AH124" s="1972">
        <v>0</v>
      </c>
    </row>
    <row s="21605" customFormat="1" customHeight="1" ht="0.75">
      <c r="A125" s="2121"/>
      <c r="B125" s="2121"/>
      <c r="C125" s="710" t="s">
        <v>1266</v>
      </c>
      <c r="D125" s="2803"/>
      <c r="E125" s="2545"/>
      <c r="F125" s="2724"/>
      <c r="G125" s="741"/>
      <c r="H125" s="1841"/>
      <c r="I125" s="992"/>
      <c r="J125" s="912"/>
      <c r="K125" s="1841"/>
      <c r="L125" s="555"/>
      <c r="M125" s="682"/>
      <c r="N125" s="675"/>
      <c r="O125" s="1965"/>
      <c r="P125" s="1965"/>
      <c r="AH125" s="1972">
        <v>0</v>
      </c>
    </row>
    <row s="21605" customFormat="1" customHeight="1" ht="18.75" hidden="1">
      <c r="A126" s="2121" t="s">
        <v>349</v>
      </c>
      <c r="B126" s="2121" t="s">
        <v>350</v>
      </c>
      <c r="C126" s="710"/>
      <c r="D126" s="2803"/>
      <c r="E126" s="2545"/>
      <c r="F126" s="2724" t="str">
        <f>INDEX(PT_DIFFERENTIATION_VTAR,MATCH(A126,PT_DIFFERENTIATION_VTAR_ID,0))</f>
        <v>Тариф на транспортировку воды</v>
      </c>
      <c r="G126" s="2768" t="str">
        <f>INDEX(PT_DIFFERENTIATION_NTAR,MATCH(B126,PT_DIFFERENTIATION_NTAR_ID,0))</f>
        <v/>
      </c>
      <c r="H126" s="2203"/>
      <c r="I126" s="2080"/>
      <c r="J126" s="2114"/>
      <c r="K126" s="2119"/>
      <c r="L126" s="2203" t="s">
        <v>420</v>
      </c>
      <c r="M126" s="682"/>
      <c r="N126" s="675"/>
      <c r="O126" s="1965"/>
      <c r="P126" s="1965"/>
      <c r="AH126" s="1972">
        <v>0</v>
      </c>
    </row>
    <row s="21605" customFormat="1" customHeight="1" ht="18.75" hidden="1">
      <c r="A127" s="2121"/>
      <c r="B127" s="2121"/>
      <c r="C127" s="710" t="s">
        <v>1257</v>
      </c>
      <c r="D127" s="2803"/>
      <c r="E127" s="2545"/>
      <c r="F127" s="2724"/>
      <c r="G127" s="2768"/>
      <c r="H127" s="1841"/>
      <c r="I127" s="992" t="s">
        <v>1256</v>
      </c>
      <c r="J127" s="912"/>
      <c r="K127" s="1841"/>
      <c r="L127" s="555"/>
      <c r="M127" s="682"/>
      <c r="N127" s="675"/>
      <c r="O127" s="1965"/>
      <c r="P127" s="1965"/>
      <c r="AH127" s="1972">
        <v>0</v>
      </c>
    </row>
    <row s="21605" customFormat="1" customHeight="1" ht="0.75" hidden="1">
      <c r="A128" s="2121"/>
      <c r="B128" s="2121"/>
      <c r="C128" s="710" t="s">
        <v>1266</v>
      </c>
      <c r="D128" s="2803"/>
      <c r="E128" s="2545"/>
      <c r="F128" s="2724"/>
      <c r="G128" s="741"/>
      <c r="H128" s="1841"/>
      <c r="I128" s="992"/>
      <c r="J128" s="912"/>
      <c r="K128" s="1841"/>
      <c r="L128" s="555"/>
      <c r="M128" s="682"/>
      <c r="N128" s="675"/>
      <c r="O128" s="1965"/>
      <c r="P128" s="1965"/>
      <c r="AH128" s="1972">
        <v>0</v>
      </c>
    </row>
    <row s="21605" customFormat="1" customHeight="1" ht="18.75" hidden="1">
      <c r="A129" s="2121" t="s">
        <v>354</v>
      </c>
      <c r="B129" s="2121" t="s">
        <v>355</v>
      </c>
      <c r="C129" s="710"/>
      <c r="D129" s="2803"/>
      <c r="E129" s="2545"/>
      <c r="F129" s="2724" t="str">
        <f>INDEX(PT_DIFFERENTIATION_VTAR,MATCH(A129,PT_DIFFERENTIATION_VTAR_ID,0))</f>
        <v>Тариф на подвоз воды</v>
      </c>
      <c r="G129" s="2768" t="str">
        <f>INDEX(PT_DIFFERENTIATION_NTAR,MATCH(B129,PT_DIFFERENTIATION_NTAR_ID,0))</f>
        <v/>
      </c>
      <c r="H129" s="2203"/>
      <c r="I129" s="2080"/>
      <c r="J129" s="2114"/>
      <c r="K129" s="2119"/>
      <c r="L129" s="2203" t="s">
        <v>420</v>
      </c>
      <c r="M129" s="682"/>
      <c r="N129" s="675"/>
      <c r="O129" s="1965"/>
      <c r="P129" s="1965"/>
      <c r="AH129" s="1972">
        <v>0</v>
      </c>
    </row>
    <row s="21605" customFormat="1" customHeight="1" ht="18.75" hidden="1">
      <c r="A130" s="2121"/>
      <c r="B130" s="2121"/>
      <c r="C130" s="710" t="s">
        <v>1257</v>
      </c>
      <c r="D130" s="2803"/>
      <c r="E130" s="2545"/>
      <c r="F130" s="2724"/>
      <c r="G130" s="2768"/>
      <c r="H130" s="1841"/>
      <c r="I130" s="992" t="s">
        <v>1256</v>
      </c>
      <c r="J130" s="912"/>
      <c r="K130" s="1841"/>
      <c r="L130" s="555"/>
      <c r="M130" s="682"/>
      <c r="N130" s="675"/>
      <c r="O130" s="1965"/>
      <c r="P130" s="1965"/>
      <c r="AH130" s="1972">
        <v>0</v>
      </c>
    </row>
    <row s="21605" customFormat="1" customHeight="1" ht="0.75" hidden="1">
      <c r="A131" s="2121"/>
      <c r="B131" s="2121"/>
      <c r="C131" s="710" t="s">
        <v>1266</v>
      </c>
      <c r="D131" s="2803"/>
      <c r="E131" s="2545"/>
      <c r="F131" s="2724"/>
      <c r="G131" s="741"/>
      <c r="H131" s="1841"/>
      <c r="I131" s="992"/>
      <c r="J131" s="912"/>
      <c r="K131" s="1841"/>
      <c r="L131" s="555"/>
      <c r="M131" s="682"/>
      <c r="N131" s="675"/>
      <c r="O131" s="1965"/>
      <c r="P131" s="1965"/>
      <c r="AH131" s="1972">
        <v>0</v>
      </c>
    </row>
    <row s="21605" customFormat="1" customHeight="1" ht="18.75" hidden="1">
      <c r="A132" s="2121" t="s">
        <v>359</v>
      </c>
      <c r="B132" s="2121" t="s">
        <v>360</v>
      </c>
      <c r="C132" s="710"/>
      <c r="D132" s="2803"/>
      <c r="E132" s="2545"/>
      <c r="F132" s="2724"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768" t="str">
        <f>INDEX(PT_DIFFERENTIATION_NTAR,MATCH(B132,PT_DIFFERENTIATION_NTAR_ID,0))</f>
        <v/>
      </c>
      <c r="H132" s="2203"/>
      <c r="I132" s="2080"/>
      <c r="J132" s="2114"/>
      <c r="K132" s="2119"/>
      <c r="L132" s="2203" t="s">
        <v>420</v>
      </c>
      <c r="M132" s="682"/>
      <c r="N132" s="675"/>
      <c r="O132" s="1965"/>
      <c r="P132" s="1965"/>
      <c r="AH132" s="1972">
        <v>0</v>
      </c>
    </row>
    <row s="21605" customFormat="1" customHeight="1" ht="18.75" hidden="1">
      <c r="A133" s="2121"/>
      <c r="B133" s="2121"/>
      <c r="C133" s="710" t="s">
        <v>1257</v>
      </c>
      <c r="D133" s="2803"/>
      <c r="E133" s="2545"/>
      <c r="F133" s="2724"/>
      <c r="G133" s="2768"/>
      <c r="H133" s="1841"/>
      <c r="I133" s="992" t="s">
        <v>1256</v>
      </c>
      <c r="J133" s="912"/>
      <c r="K133" s="1841"/>
      <c r="L133" s="555"/>
      <c r="M133" s="682"/>
      <c r="N133" s="675"/>
      <c r="O133" s="1965"/>
      <c r="P133" s="1965"/>
      <c r="AH133" s="1972">
        <v>0</v>
      </c>
    </row>
    <row s="21605" customFormat="1" customHeight="1" ht="0.75" hidden="1">
      <c r="A134" s="2121"/>
      <c r="B134" s="2121"/>
      <c r="C134" s="710" t="s">
        <v>1266</v>
      </c>
      <c r="D134" s="2803"/>
      <c r="E134" s="2545"/>
      <c r="F134" s="2724"/>
      <c r="G134" s="741"/>
      <c r="H134" s="1841"/>
      <c r="I134" s="992"/>
      <c r="J134" s="912"/>
      <c r="K134" s="1841"/>
      <c r="L134" s="555"/>
      <c r="M134" s="682"/>
      <c r="N134" s="675"/>
      <c r="O134" s="1965"/>
      <c r="P134" s="1965"/>
      <c r="AH134" s="1972">
        <v>0</v>
      </c>
    </row>
    <row s="21605" customFormat="1" customHeight="1" ht="18.75" hidden="1">
      <c r="A135" s="2121" t="s">
        <v>364</v>
      </c>
      <c r="B135" s="2121" t="s">
        <v>365</v>
      </c>
      <c r="C135" s="710"/>
      <c r="D135" s="2803"/>
      <c r="E135" s="2545"/>
      <c r="F135" s="2724" t="str">
        <f>INDEX(PT_DIFFERENTIATION_VTAR,MATCH(A135,PT_DIFFERENTIATION_VTAR_ID,0))</f>
        <v>Тариф на горячую воду (горячее водоснабжение)</v>
      </c>
      <c r="G135" s="2768" t="str">
        <f>INDEX(PT_DIFFERENTIATION_NTAR,MATCH(B135,PT_DIFFERENTIATION_NTAR_ID,0))</f>
        <v/>
      </c>
      <c r="H135" s="2203"/>
      <c r="I135" s="2080"/>
      <c r="J135" s="2114"/>
      <c r="K135" s="2119"/>
      <c r="L135" s="2203" t="s">
        <v>420</v>
      </c>
      <c r="M135" s="682"/>
      <c r="N135" s="675"/>
      <c r="O135" s="1965"/>
      <c r="P135" s="1965"/>
      <c r="AH135" s="1972">
        <v>0</v>
      </c>
    </row>
    <row s="21605" customFormat="1" customHeight="1" ht="18.75" hidden="1">
      <c r="A136" s="2121"/>
      <c r="B136" s="2121"/>
      <c r="C136" s="710" t="s">
        <v>1257</v>
      </c>
      <c r="D136" s="2803"/>
      <c r="E136" s="2545"/>
      <c r="F136" s="2724"/>
      <c r="G136" s="2768"/>
      <c r="H136" s="1841"/>
      <c r="I136" s="992" t="s">
        <v>1256</v>
      </c>
      <c r="J136" s="912"/>
      <c r="K136" s="1841"/>
      <c r="L136" s="555"/>
      <c r="M136" s="682"/>
      <c r="N136" s="675"/>
      <c r="O136" s="1965"/>
      <c r="P136" s="1965"/>
      <c r="AH136" s="1972">
        <v>0</v>
      </c>
    </row>
    <row s="21605" customFormat="1" customHeight="1" ht="0.75" hidden="1">
      <c r="A137" s="2121"/>
      <c r="B137" s="2121"/>
      <c r="C137" s="710" t="s">
        <v>1266</v>
      </c>
      <c r="D137" s="2803"/>
      <c r="E137" s="2545"/>
      <c r="F137" s="2724"/>
      <c r="G137" s="741"/>
      <c r="H137" s="1841"/>
      <c r="I137" s="992"/>
      <c r="J137" s="912"/>
      <c r="K137" s="1841"/>
      <c r="L137" s="555"/>
      <c r="M137" s="682"/>
      <c r="N137" s="675"/>
      <c r="O137" s="1965"/>
      <c r="P137" s="1965"/>
      <c r="AH137" s="1972">
        <v>0</v>
      </c>
    </row>
    <row s="21605" customFormat="1" customHeight="1" ht="18.75" hidden="1">
      <c r="A138" s="2121" t="s">
        <v>369</v>
      </c>
      <c r="B138" s="2121" t="s">
        <v>370</v>
      </c>
      <c r="C138" s="710"/>
      <c r="D138" s="2803"/>
      <c r="E138" s="2545"/>
      <c r="F138" s="2724" t="str">
        <f>INDEX(PT_DIFFERENTIATION_VTAR,MATCH(A138,PT_DIFFERENTIATION_VTAR_ID,0))</f>
        <v>Тариф на транспортировку горячей воды</v>
      </c>
      <c r="G138" s="2768" t="str">
        <f>INDEX(PT_DIFFERENTIATION_NTAR,MATCH(B138,PT_DIFFERENTIATION_NTAR_ID,0))</f>
        <v/>
      </c>
      <c r="H138" s="2203"/>
      <c r="I138" s="2080"/>
      <c r="J138" s="2114"/>
      <c r="K138" s="2119"/>
      <c r="L138" s="2203" t="s">
        <v>420</v>
      </c>
      <c r="M138" s="682"/>
      <c r="N138" s="675"/>
      <c r="O138" s="1965"/>
      <c r="P138" s="1965"/>
      <c r="AH138" s="1972">
        <v>0</v>
      </c>
    </row>
    <row s="21605" customFormat="1" customHeight="1" ht="18.75" hidden="1">
      <c r="A139" s="2121"/>
      <c r="B139" s="2121"/>
      <c r="C139" s="710" t="s">
        <v>1257</v>
      </c>
      <c r="D139" s="2803"/>
      <c r="E139" s="2545"/>
      <c r="F139" s="2724"/>
      <c r="G139" s="2768"/>
      <c r="H139" s="1841"/>
      <c r="I139" s="992" t="s">
        <v>1256</v>
      </c>
      <c r="J139" s="912"/>
      <c r="K139" s="1841"/>
      <c r="L139" s="555"/>
      <c r="M139" s="682"/>
      <c r="N139" s="675"/>
      <c r="O139" s="1965"/>
      <c r="P139" s="1965"/>
      <c r="AH139" s="1972">
        <v>0</v>
      </c>
    </row>
    <row s="21605" customFormat="1" customHeight="1" ht="0.75" hidden="1">
      <c r="A140" s="2121"/>
      <c r="B140" s="2121"/>
      <c r="C140" s="710" t="s">
        <v>1266</v>
      </c>
      <c r="D140" s="2803"/>
      <c r="E140" s="2545"/>
      <c r="F140" s="2724"/>
      <c r="G140" s="741"/>
      <c r="H140" s="1841"/>
      <c r="I140" s="992"/>
      <c r="J140" s="912"/>
      <c r="K140" s="1841"/>
      <c r="L140" s="555"/>
      <c r="M140" s="682"/>
      <c r="N140" s="675"/>
      <c r="O140" s="1965"/>
      <c r="P140" s="1965"/>
      <c r="AH140" s="1972">
        <v>0</v>
      </c>
    </row>
    <row s="21605" customFormat="1" customHeight="1" ht="18.75" hidden="1">
      <c r="A141" s="2121" t="s">
        <v>374</v>
      </c>
      <c r="B141" s="2121" t="s">
        <v>375</v>
      </c>
      <c r="C141" s="710"/>
      <c r="D141" s="2803"/>
      <c r="E141" s="2545"/>
      <c r="F141" s="2724" t="str">
        <f>INDEX(PT_DIFFERENTIATION_VTAR,MATCH(A141,PT_DIFFERENTIATION_VTAR_ID,0))</f>
        <v>Тариф на подключение (технологическое присоединение) к централизованной системе горячего водоснабжения</v>
      </c>
      <c r="G141" s="2768" t="str">
        <f>INDEX(PT_DIFFERENTIATION_NTAR,MATCH(B141,PT_DIFFERENTIATION_NTAR_ID,0))</f>
        <v/>
      </c>
      <c r="H141" s="2203"/>
      <c r="I141" s="2080"/>
      <c r="J141" s="2114"/>
      <c r="K141" s="2119"/>
      <c r="L141" s="2203" t="s">
        <v>420</v>
      </c>
      <c r="M141" s="682"/>
      <c r="N141" s="675"/>
      <c r="O141" s="1965"/>
      <c r="P141" s="1965"/>
      <c r="AH141" s="1972">
        <v>0</v>
      </c>
    </row>
    <row s="21605" customFormat="1" customHeight="1" ht="18.75" hidden="1">
      <c r="A142" s="2121"/>
      <c r="B142" s="2121"/>
      <c r="C142" s="710" t="s">
        <v>1257</v>
      </c>
      <c r="D142" s="2803"/>
      <c r="E142" s="2545"/>
      <c r="F142" s="2724"/>
      <c r="G142" s="2768"/>
      <c r="H142" s="1841"/>
      <c r="I142" s="992" t="s">
        <v>1256</v>
      </c>
      <c r="J142" s="912"/>
      <c r="K142" s="1841"/>
      <c r="L142" s="555"/>
      <c r="M142" s="682"/>
      <c r="N142" s="675"/>
      <c r="O142" s="1965"/>
      <c r="P142" s="1965"/>
      <c r="AH142" s="1972">
        <v>0</v>
      </c>
    </row>
    <row s="21605" customFormat="1" customHeight="1" ht="0.75" hidden="1">
      <c r="A143" s="2121"/>
      <c r="B143" s="2121"/>
      <c r="C143" s="710" t="s">
        <v>1266</v>
      </c>
      <c r="D143" s="2803"/>
      <c r="E143" s="2545"/>
      <c r="F143" s="2724"/>
      <c r="G143" s="741"/>
      <c r="H143" s="1841"/>
      <c r="I143" s="992"/>
      <c r="J143" s="912"/>
      <c r="K143" s="1841"/>
      <c r="L143" s="555"/>
      <c r="M143" s="682"/>
      <c r="N143" s="675"/>
      <c r="O143" s="1965"/>
      <c r="P143" s="1965"/>
      <c r="AH143" s="1972">
        <v>0</v>
      </c>
    </row>
    <row s="21605" customFormat="1" customHeight="1" ht="18.75" hidden="1">
      <c r="A144" s="2121" t="s">
        <v>379</v>
      </c>
      <c r="B144" s="2121" t="s">
        <v>380</v>
      </c>
      <c r="C144" s="710"/>
      <c r="D144" s="2803"/>
      <c r="E144" s="2545"/>
      <c r="F144" s="2724" t="str">
        <f>INDEX(PT_DIFFERENTIATION_VTAR,MATCH(A144,PT_DIFFERENTIATION_VTAR_ID,0))</f>
        <v>Тариф на водоотведение</v>
      </c>
      <c r="G144" s="2768" t="str">
        <f>INDEX(PT_DIFFERENTIATION_NTAR,MATCH(B144,PT_DIFFERENTIATION_NTAR_ID,0))</f>
        <v/>
      </c>
      <c r="H144" s="2203"/>
      <c r="I144" s="2080"/>
      <c r="J144" s="2114"/>
      <c r="K144" s="2119"/>
      <c r="L144" s="2203" t="s">
        <v>420</v>
      </c>
      <c r="M144" s="682"/>
      <c r="N144" s="675"/>
      <c r="O144" s="1965"/>
      <c r="P144" s="1965"/>
      <c r="AH144" s="1972">
        <v>0</v>
      </c>
    </row>
    <row s="21605" customFormat="1" customHeight="1" ht="18.75" hidden="1">
      <c r="A145" s="2121"/>
      <c r="B145" s="2121"/>
      <c r="C145" s="710" t="s">
        <v>1257</v>
      </c>
      <c r="D145" s="2803"/>
      <c r="E145" s="2545"/>
      <c r="F145" s="2724"/>
      <c r="G145" s="2768"/>
      <c r="H145" s="1841"/>
      <c r="I145" s="992" t="s">
        <v>1256</v>
      </c>
      <c r="J145" s="912"/>
      <c r="K145" s="1841"/>
      <c r="L145" s="555"/>
      <c r="M145" s="682"/>
      <c r="N145" s="675"/>
      <c r="O145" s="1965"/>
      <c r="P145" s="1965"/>
      <c r="AH145" s="1972">
        <v>0</v>
      </c>
    </row>
    <row s="21605" customFormat="1" customHeight="1" ht="0.75" hidden="1">
      <c r="A146" s="2121"/>
      <c r="B146" s="2121"/>
      <c r="C146" s="710" t="s">
        <v>1266</v>
      </c>
      <c r="D146" s="2803"/>
      <c r="E146" s="2545"/>
      <c r="F146" s="2724"/>
      <c r="G146" s="741"/>
      <c r="H146" s="1841"/>
      <c r="I146" s="992"/>
      <c r="J146" s="912"/>
      <c r="K146" s="1841"/>
      <c r="L146" s="555"/>
      <c r="M146" s="682"/>
      <c r="N146" s="675"/>
      <c r="O146" s="1965"/>
      <c r="P146" s="1965"/>
      <c r="AH146" s="1972">
        <v>0</v>
      </c>
    </row>
    <row s="21605" customFormat="1" customHeight="1" ht="18.75" hidden="1">
      <c r="A147" s="2121" t="s">
        <v>384</v>
      </c>
      <c r="B147" s="2121" t="s">
        <v>385</v>
      </c>
      <c r="C147" s="710"/>
      <c r="D147" s="2803"/>
      <c r="E147" s="2545"/>
      <c r="F147" s="2724" t="str">
        <f>INDEX(PT_DIFFERENTIATION_VTAR,MATCH(A147,PT_DIFFERENTIATION_VTAR_ID,0))</f>
        <v>Тариф на транспортировку сточных вод</v>
      </c>
      <c r="G147" s="2768" t="str">
        <f>INDEX(PT_DIFFERENTIATION_NTAR,MATCH(B147,PT_DIFFERENTIATION_NTAR_ID,0))</f>
        <v/>
      </c>
      <c r="H147" s="2203"/>
      <c r="I147" s="2080"/>
      <c r="J147" s="2114"/>
      <c r="K147" s="2119"/>
      <c r="L147" s="2203" t="s">
        <v>420</v>
      </c>
      <c r="M147" s="682"/>
      <c r="N147" s="675"/>
      <c r="O147" s="1965"/>
      <c r="P147" s="1965"/>
      <c r="AH147" s="1972">
        <v>0</v>
      </c>
    </row>
    <row s="21605" customFormat="1" customHeight="1" ht="18.75" hidden="1">
      <c r="A148" s="2121"/>
      <c r="B148" s="2121"/>
      <c r="C148" s="710" t="s">
        <v>1257</v>
      </c>
      <c r="D148" s="2803"/>
      <c r="E148" s="2545"/>
      <c r="F148" s="2724"/>
      <c r="G148" s="2768"/>
      <c r="H148" s="1841"/>
      <c r="I148" s="992" t="s">
        <v>1256</v>
      </c>
      <c r="J148" s="912"/>
      <c r="K148" s="1841"/>
      <c r="L148" s="555"/>
      <c r="M148" s="682"/>
      <c r="N148" s="675"/>
      <c r="O148" s="1965"/>
      <c r="P148" s="1965"/>
      <c r="AH148" s="1972">
        <v>0</v>
      </c>
    </row>
    <row s="21605" customFormat="1" customHeight="1" ht="0.75" hidden="1">
      <c r="A149" s="2121"/>
      <c r="B149" s="2121"/>
      <c r="C149" s="710" t="s">
        <v>1266</v>
      </c>
      <c r="D149" s="2803"/>
      <c r="E149" s="2545"/>
      <c r="F149" s="2724"/>
      <c r="G149" s="741"/>
      <c r="H149" s="1841"/>
      <c r="I149" s="992"/>
      <c r="J149" s="912"/>
      <c r="K149" s="1841"/>
      <c r="L149" s="555"/>
      <c r="M149" s="682"/>
      <c r="N149" s="675"/>
      <c r="O149" s="1965"/>
      <c r="P149" s="1965"/>
      <c r="AH149" s="1972">
        <v>0</v>
      </c>
    </row>
    <row s="21605" customFormat="1" customHeight="1" ht="18.75" hidden="1">
      <c r="A150" s="2121" t="s">
        <v>389</v>
      </c>
      <c r="B150" s="2121" t="s">
        <v>390</v>
      </c>
      <c r="C150" s="710"/>
      <c r="D150" s="2803"/>
      <c r="E150" s="2545"/>
      <c r="F150" s="2724" t="str">
        <f>INDEX(PT_DIFFERENTIATION_VTAR,MATCH(A150,PT_DIFFERENTIATION_VTAR_ID,0))</f>
        <v>Тариф на подключение (технологическое присоединение) к централизованной системе водоотведения</v>
      </c>
      <c r="G150" s="2768" t="str">
        <f>INDEX(PT_DIFFERENTIATION_NTAR,MATCH(B150,PT_DIFFERENTIATION_NTAR_ID,0))</f>
        <v/>
      </c>
      <c r="H150" s="2203"/>
      <c r="I150" s="2080"/>
      <c r="J150" s="2114"/>
      <c r="K150" s="2119"/>
      <c r="L150" s="2203" t="s">
        <v>420</v>
      </c>
      <c r="M150" s="682"/>
      <c r="N150" s="675"/>
      <c r="O150" s="1965"/>
      <c r="P150" s="1965"/>
      <c r="AH150" s="1972">
        <v>0</v>
      </c>
    </row>
    <row s="21605" customFormat="1" customHeight="1" ht="18.75" hidden="1">
      <c r="A151" s="2121"/>
      <c r="B151" s="2121"/>
      <c r="C151" s="710" t="s">
        <v>1257</v>
      </c>
      <c r="D151" s="2803"/>
      <c r="E151" s="2545"/>
      <c r="F151" s="2724"/>
      <c r="G151" s="2768"/>
      <c r="H151" s="1841"/>
      <c r="I151" s="992" t="s">
        <v>1256</v>
      </c>
      <c r="J151" s="912"/>
      <c r="K151" s="1841"/>
      <c r="L151" s="555"/>
      <c r="M151" s="682"/>
      <c r="N151" s="675"/>
      <c r="O151" s="1965"/>
      <c r="P151" s="1965"/>
      <c r="AH151" s="1972">
        <v>0</v>
      </c>
    </row>
    <row s="21605" customFormat="1" customHeight="1" ht="1.05">
      <c r="A152" s="2121"/>
      <c r="B152" s="2121"/>
      <c r="C152" s="710" t="s">
        <v>1266</v>
      </c>
      <c r="D152" s="2803"/>
      <c r="E152" s="2545"/>
      <c r="F152" s="2724"/>
      <c r="G152" s="741"/>
      <c r="H152" s="1841"/>
      <c r="I152" s="992"/>
      <c r="J152" s="912"/>
      <c r="K152" s="1841"/>
      <c r="L152" s="555"/>
      <c r="M152" s="682"/>
      <c r="N152" s="675"/>
      <c r="O152" s="1965"/>
      <c r="P152" s="1965"/>
      <c r="AH152" s="1972">
        <v>1</v>
      </c>
    </row>
    <row customHeight="1" ht="19.95">
      <c r="A153" s="2121"/>
      <c r="B153" s="2121"/>
      <c r="D153" s="717"/>
      <c r="E153" s="488" t="s">
        <v>91</v>
      </c>
      <c r="F153"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801"/>
      <c r="H153" s="2801"/>
      <c r="I153" s="2801"/>
      <c r="J153" s="2801"/>
      <c r="K153" s="2801"/>
      <c r="L153" s="2801"/>
      <c r="M153" s="638"/>
      <c r="N153" s="675"/>
      <c r="AH153" s="715">
        <v>19</v>
      </c>
    </row>
    <row s="21605" customFormat="1" customHeight="1" ht="60.75" hidden="1">
      <c r="A154" s="2121" t="s">
        <v>193</v>
      </c>
      <c r="B154" s="2121" t="s">
        <v>194</v>
      </c>
      <c r="C154" s="710"/>
      <c r="D154" s="2803"/>
      <c r="E154" s="2545"/>
      <c r="F154" s="2724"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768" t="str">
        <f>INDEX(PT_DIFFERENTIATION_NTAR,MATCH(B154,PT_DIFFERENTIATION_NTAR_ID,0))</f>
        <v/>
      </c>
      <c r="H154" s="2203"/>
      <c r="I154" s="2080"/>
      <c r="J154" s="2114"/>
      <c r="K154" s="2119"/>
      <c r="L154" s="2203" t="s">
        <v>420</v>
      </c>
      <c r="M15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675"/>
      <c r="O154" s="1965"/>
      <c r="P154" s="1965"/>
      <c r="AH154" s="1972">
        <v>0</v>
      </c>
    </row>
    <row s="21605" customFormat="1" customHeight="1" ht="18.75" hidden="1">
      <c r="A155" s="2121"/>
      <c r="B155" s="2121"/>
      <c r="C155" s="710" t="s">
        <v>1257</v>
      </c>
      <c r="D155" s="2803"/>
      <c r="E155" s="2545"/>
      <c r="F155" s="2724"/>
      <c r="G155" s="2768"/>
      <c r="H155" s="1841"/>
      <c r="I155" s="992" t="s">
        <v>1256</v>
      </c>
      <c r="J155" s="912"/>
      <c r="K155" s="1841"/>
      <c r="L155" s="555"/>
      <c r="M155" s="2511"/>
      <c r="N155" s="675"/>
      <c r="O155" s="1965"/>
      <c r="P155" s="1965"/>
      <c r="AH155" s="1972">
        <v>0</v>
      </c>
    </row>
    <row s="21605" customFormat="1" customHeight="1" ht="0.75" hidden="1">
      <c r="A156" s="2121"/>
      <c r="B156" s="2121"/>
      <c r="C156" s="710" t="s">
        <v>1266</v>
      </c>
      <c r="D156" s="2803"/>
      <c r="E156" s="2545"/>
      <c r="F156" s="2724"/>
      <c r="G156" s="741"/>
      <c r="H156" s="1841"/>
      <c r="I156" s="992"/>
      <c r="J156" s="912"/>
      <c r="K156" s="1841"/>
      <c r="L156" s="555"/>
      <c r="M156" s="2511"/>
      <c r="N156" s="675"/>
      <c r="O156" s="1965"/>
      <c r="P156" s="1965"/>
      <c r="AH156" s="1972">
        <v>0</v>
      </c>
    </row>
    <row s="21605" customFormat="1" customHeight="1" ht="45" hidden="1">
      <c r="A157" s="2121" t="s">
        <v>198</v>
      </c>
      <c r="B157" s="2121" t="s">
        <v>199</v>
      </c>
      <c r="C157" s="710"/>
      <c r="D157" s="2803"/>
      <c r="E157" s="2545"/>
      <c r="F157" s="2724" t="str">
        <f>INDEX(PT_DIFFERENTIATION_VTAR,MATCH(A157,PT_DIFFERENTIATION_VTAR_ID,0))</f>
        <v/>
      </c>
      <c r="G157" s="2768" t="str">
        <f>INDEX(PT_DIFFERENTIATION_NTAR,MATCH(B157,PT_DIFFERENTIATION_NTAR_ID,0))</f>
        <v/>
      </c>
      <c r="H157" s="2203"/>
      <c r="I157" s="2080"/>
      <c r="J157" s="2114"/>
      <c r="K157" s="2119"/>
      <c r="L157" s="2203" t="s">
        <v>420</v>
      </c>
      <c r="M157" s="2512"/>
      <c r="N157" s="675"/>
      <c r="O157" s="1965"/>
      <c r="P157" s="1965"/>
      <c r="AH157" s="1972">
        <v>0</v>
      </c>
    </row>
    <row s="21605" customFormat="1" customHeight="1" ht="18.75" hidden="1">
      <c r="A158" s="2121"/>
      <c r="B158" s="2121"/>
      <c r="C158" s="710" t="s">
        <v>1257</v>
      </c>
      <c r="D158" s="2803"/>
      <c r="E158" s="2545"/>
      <c r="F158" s="2724"/>
      <c r="G158" s="2768"/>
      <c r="H158" s="1841"/>
      <c r="I158" s="992" t="s">
        <v>1256</v>
      </c>
      <c r="J158" s="912"/>
      <c r="K158" s="1841"/>
      <c r="L158" s="555"/>
      <c r="M158" s="2202"/>
      <c r="N158" s="675"/>
      <c r="O158" s="1965"/>
      <c r="P158" s="1965"/>
      <c r="AH158" s="1972">
        <v>0</v>
      </c>
    </row>
    <row s="21605" customFormat="1" customHeight="1" ht="0.75" hidden="1">
      <c r="A159" s="2121"/>
      <c r="B159" s="2121"/>
      <c r="C159" s="710" t="s">
        <v>1266</v>
      </c>
      <c r="D159" s="2803"/>
      <c r="E159" s="2545"/>
      <c r="F159" s="2724"/>
      <c r="G159" s="741"/>
      <c r="H159" s="1841"/>
      <c r="I159" s="992"/>
      <c r="J159" s="912"/>
      <c r="K159" s="1841"/>
      <c r="L159" s="555"/>
      <c r="M159" s="682"/>
      <c r="N159" s="675"/>
      <c r="O159" s="1965"/>
      <c r="P159" s="1965"/>
      <c r="AH159" s="1972">
        <v>0</v>
      </c>
    </row>
    <row s="21605" customFormat="1" customHeight="1" ht="45" hidden="1">
      <c r="A160" s="2121" t="s">
        <v>205</v>
      </c>
      <c r="B160" s="2121" t="s">
        <v>206</v>
      </c>
      <c r="C160" s="710"/>
      <c r="D160" s="2803"/>
      <c r="E160" s="2545"/>
      <c r="F160" s="2724"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768" t="str">
        <f>INDEX(PT_DIFFERENTIATION_NTAR,MATCH(B160,PT_DIFFERENTIATION_NTAR_ID,0))</f>
        <v/>
      </c>
      <c r="H160" s="2203"/>
      <c r="I160" s="2080"/>
      <c r="J160" s="2114"/>
      <c r="K160" s="2119"/>
      <c r="L160" s="2203" t="s">
        <v>420</v>
      </c>
      <c r="M160" s="682"/>
      <c r="N160" s="675"/>
      <c r="O160" s="1965"/>
      <c r="P160" s="1965"/>
      <c r="AH160" s="1972">
        <v>0</v>
      </c>
    </row>
    <row s="21605" customFormat="1" customHeight="1" ht="18.75" hidden="1">
      <c r="A161" s="2121"/>
      <c r="B161" s="2121"/>
      <c r="C161" s="710" t="s">
        <v>1257</v>
      </c>
      <c r="D161" s="2803"/>
      <c r="E161" s="2545"/>
      <c r="F161" s="2724"/>
      <c r="G161" s="2768"/>
      <c r="H161" s="1841"/>
      <c r="I161" s="992" t="s">
        <v>1256</v>
      </c>
      <c r="J161" s="912"/>
      <c r="K161" s="1841"/>
      <c r="L161" s="555"/>
      <c r="M161" s="682"/>
      <c r="N161" s="675"/>
      <c r="O161" s="1965"/>
      <c r="P161" s="1965"/>
      <c r="AH161" s="1972">
        <v>0</v>
      </c>
    </row>
    <row s="21605" customFormat="1" customHeight="1" ht="0.75" hidden="1">
      <c r="A162" s="2121"/>
      <c r="B162" s="2121"/>
      <c r="C162" s="710" t="s">
        <v>1266</v>
      </c>
      <c r="D162" s="2803"/>
      <c r="E162" s="2545"/>
      <c r="F162" s="2724"/>
      <c r="G162" s="741"/>
      <c r="H162" s="1841"/>
      <c r="I162" s="992"/>
      <c r="J162" s="912"/>
      <c r="K162" s="1841"/>
      <c r="L162" s="555"/>
      <c r="M162" s="682"/>
      <c r="N162" s="675"/>
      <c r="O162" s="1965"/>
      <c r="P162" s="1965"/>
      <c r="AH162" s="1972">
        <v>0</v>
      </c>
    </row>
    <row s="21605" customFormat="1" customHeight="1" ht="45" hidden="1">
      <c r="A163" s="2121" t="s">
        <v>211</v>
      </c>
      <c r="B163" s="2121" t="s">
        <v>212</v>
      </c>
      <c r="C163" s="710"/>
      <c r="D163" s="2803"/>
      <c r="E163" s="2545"/>
      <c r="F163" s="272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768" t="str">
        <f>INDEX(PT_DIFFERENTIATION_NTAR,MATCH(B163,PT_DIFFERENTIATION_NTAR_ID,0))</f>
        <v/>
      </c>
      <c r="H163" s="2203"/>
      <c r="I163" s="2080"/>
      <c r="J163" s="2114"/>
      <c r="K163" s="2119"/>
      <c r="L163" s="2203" t="s">
        <v>420</v>
      </c>
      <c r="M163" s="682"/>
      <c r="N163" s="675"/>
      <c r="O163" s="1965"/>
      <c r="P163" s="1965"/>
      <c r="AH163" s="1972">
        <v>0</v>
      </c>
    </row>
    <row s="21605" customFormat="1" customHeight="1" ht="18.75" hidden="1">
      <c r="A164" s="2121"/>
      <c r="B164" s="2121"/>
      <c r="C164" s="710" t="s">
        <v>1257</v>
      </c>
      <c r="D164" s="2803"/>
      <c r="E164" s="2545"/>
      <c r="F164" s="2724"/>
      <c r="G164" s="2768"/>
      <c r="H164" s="1841"/>
      <c r="I164" s="992" t="s">
        <v>1256</v>
      </c>
      <c r="J164" s="912"/>
      <c r="K164" s="1841"/>
      <c r="L164" s="555"/>
      <c r="M164" s="682"/>
      <c r="N164" s="675"/>
      <c r="O164" s="1965"/>
      <c r="P164" s="1965"/>
      <c r="AH164" s="1972">
        <v>0</v>
      </c>
    </row>
    <row s="21605" customFormat="1" customHeight="1" ht="0.75" hidden="1">
      <c r="A165" s="2121"/>
      <c r="B165" s="2121"/>
      <c r="C165" s="710" t="s">
        <v>1266</v>
      </c>
      <c r="D165" s="2803"/>
      <c r="E165" s="2545"/>
      <c r="F165" s="2724"/>
      <c r="G165" s="741"/>
      <c r="H165" s="1841"/>
      <c r="I165" s="992"/>
      <c r="J165" s="912"/>
      <c r="K165" s="1841"/>
      <c r="L165" s="555"/>
      <c r="M165" s="682"/>
      <c r="N165" s="675"/>
      <c r="O165" s="1965"/>
      <c r="P165" s="1965"/>
      <c r="AH165" s="1972">
        <v>0</v>
      </c>
    </row>
    <row s="21605" customFormat="1" customHeight="1" ht="18.75" hidden="1">
      <c r="A166" s="2121" t="s">
        <v>217</v>
      </c>
      <c r="B166" s="2121" t="s">
        <v>218</v>
      </c>
      <c r="C166" s="710"/>
      <c r="D166" s="2803"/>
      <c r="E166" s="2545"/>
      <c r="F166" s="2724" t="str">
        <f>INDEX(PT_DIFFERENTIATION_VTAR,MATCH(A166,PT_DIFFERENTIATION_VTAR_ID,0))</f>
        <v>Тарифы на услуги по передаче тепловой энергии</v>
      </c>
      <c r="G166" s="2768" t="str">
        <f>INDEX(PT_DIFFERENTIATION_NTAR,MATCH(B166,PT_DIFFERENTIATION_NTAR_ID,0))</f>
        <v/>
      </c>
      <c r="H166" s="2203"/>
      <c r="I166" s="2080"/>
      <c r="J166" s="2114"/>
      <c r="K166" s="2119"/>
      <c r="L166" s="2203" t="s">
        <v>420</v>
      </c>
      <c r="M166" s="682"/>
      <c r="N166" s="675"/>
      <c r="O166" s="1965"/>
      <c r="P166" s="1965"/>
      <c r="AH166" s="1972">
        <v>0</v>
      </c>
    </row>
    <row s="21605" customFormat="1" customHeight="1" ht="18.75" hidden="1">
      <c r="A167" s="2121"/>
      <c r="B167" s="2121"/>
      <c r="C167" s="710" t="s">
        <v>1257</v>
      </c>
      <c r="D167" s="2803"/>
      <c r="E167" s="2545"/>
      <c r="F167" s="2724"/>
      <c r="G167" s="2768"/>
      <c r="H167" s="1841"/>
      <c r="I167" s="992" t="s">
        <v>1256</v>
      </c>
      <c r="J167" s="912"/>
      <c r="K167" s="1841"/>
      <c r="L167" s="555"/>
      <c r="M167" s="682"/>
      <c r="N167" s="675"/>
      <c r="O167" s="1965"/>
      <c r="P167" s="1965"/>
      <c r="AH167" s="1972">
        <v>0</v>
      </c>
    </row>
    <row s="21605" customFormat="1" customHeight="1" ht="0.75" hidden="1">
      <c r="A168" s="2121"/>
      <c r="B168" s="2121"/>
      <c r="C168" s="710" t="s">
        <v>1266</v>
      </c>
      <c r="D168" s="2803"/>
      <c r="E168" s="2545"/>
      <c r="F168" s="2724"/>
      <c r="G168" s="741"/>
      <c r="H168" s="1841"/>
      <c r="I168" s="992"/>
      <c r="J168" s="912"/>
      <c r="K168" s="1841"/>
      <c r="L168" s="555"/>
      <c r="M168" s="682"/>
      <c r="N168" s="675"/>
      <c r="O168" s="1965"/>
      <c r="P168" s="1965"/>
      <c r="AH168" s="1972">
        <v>0</v>
      </c>
    </row>
    <row s="21605" customFormat="1" customHeight="1" ht="18.75" hidden="1">
      <c r="A169" s="2121" t="s">
        <v>223</v>
      </c>
      <c r="B169" s="2121" t="s">
        <v>224</v>
      </c>
      <c r="C169" s="710"/>
      <c r="D169" s="2803"/>
      <c r="E169" s="2545"/>
      <c r="F169" s="2724" t="str">
        <f>INDEX(PT_DIFFERENTIATION_VTAR,MATCH(A169,PT_DIFFERENTIATION_VTAR_ID,0))</f>
        <v>Тарифы на услуги по передаче теплоносителя</v>
      </c>
      <c r="G169" s="2768" t="str">
        <f>INDEX(PT_DIFFERENTIATION_NTAR,MATCH(B169,PT_DIFFERENTIATION_NTAR_ID,0))</f>
        <v/>
      </c>
      <c r="H169" s="2203"/>
      <c r="I169" s="2080"/>
      <c r="J169" s="2114"/>
      <c r="K169" s="2119"/>
      <c r="L169" s="2203" t="s">
        <v>420</v>
      </c>
      <c r="M169" s="682"/>
      <c r="N169" s="675"/>
      <c r="O169" s="1965"/>
      <c r="P169" s="1965"/>
      <c r="AH169" s="1972">
        <v>0</v>
      </c>
    </row>
    <row s="21605" customFormat="1" customHeight="1" ht="18.75" hidden="1">
      <c r="A170" s="2121"/>
      <c r="B170" s="2121"/>
      <c r="C170" s="710" t="s">
        <v>1257</v>
      </c>
      <c r="D170" s="2803"/>
      <c r="E170" s="2545"/>
      <c r="F170" s="2724"/>
      <c r="G170" s="2768"/>
      <c r="H170" s="1841"/>
      <c r="I170" s="992" t="s">
        <v>1256</v>
      </c>
      <c r="J170" s="912"/>
      <c r="K170" s="1841"/>
      <c r="L170" s="555"/>
      <c r="M170" s="682"/>
      <c r="N170" s="675"/>
      <c r="O170" s="1965"/>
      <c r="P170" s="1965"/>
      <c r="AH170" s="1972">
        <v>0</v>
      </c>
    </row>
    <row s="21605" customFormat="1" customHeight="1" ht="0.75" hidden="1">
      <c r="A171" s="2121"/>
      <c r="B171" s="2121"/>
      <c r="C171" s="710" t="s">
        <v>1266</v>
      </c>
      <c r="D171" s="2803"/>
      <c r="E171" s="2545"/>
      <c r="F171" s="2724"/>
      <c r="G171" s="741"/>
      <c r="H171" s="1841"/>
      <c r="I171" s="992"/>
      <c r="J171" s="912"/>
      <c r="K171" s="1841"/>
      <c r="L171" s="555"/>
      <c r="M171" s="682"/>
      <c r="N171" s="675"/>
      <c r="O171" s="1965"/>
      <c r="P171" s="1965"/>
      <c r="AH171" s="1972">
        <v>0</v>
      </c>
    </row>
    <row s="21605" customFormat="1" customHeight="1" ht="18.75" hidden="1">
      <c r="A172" s="2121" t="s">
        <v>229</v>
      </c>
      <c r="B172" s="2121" t="s">
        <v>230</v>
      </c>
      <c r="C172" s="710"/>
      <c r="D172" s="2803"/>
      <c r="E172" s="2545"/>
      <c r="F172" s="272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768" t="str">
        <f>INDEX(PT_DIFFERENTIATION_NTAR,MATCH(B172,PT_DIFFERENTIATION_NTAR_ID,0))</f>
        <v/>
      </c>
      <c r="H172" s="2203"/>
      <c r="I172" s="2080"/>
      <c r="J172" s="2114"/>
      <c r="K172" s="2119"/>
      <c r="L172" s="2203" t="s">
        <v>420</v>
      </c>
      <c r="M172" s="682"/>
      <c r="N172" s="675"/>
      <c r="O172" s="1965"/>
      <c r="P172" s="1965"/>
      <c r="AH172" s="1972">
        <v>0</v>
      </c>
    </row>
    <row s="21605" customFormat="1" customHeight="1" ht="18.75" hidden="1">
      <c r="A173" s="2121"/>
      <c r="B173" s="2121"/>
      <c r="C173" s="710" t="s">
        <v>1257</v>
      </c>
      <c r="D173" s="2803"/>
      <c r="E173" s="2545"/>
      <c r="F173" s="2724"/>
      <c r="G173" s="2768"/>
      <c r="H173" s="1841"/>
      <c r="I173" s="992" t="s">
        <v>1256</v>
      </c>
      <c r="J173" s="912"/>
      <c r="K173" s="1841"/>
      <c r="L173" s="555"/>
      <c r="M173" s="682"/>
      <c r="N173" s="675"/>
      <c r="O173" s="1965"/>
      <c r="P173" s="1965"/>
      <c r="AH173" s="1972">
        <v>0</v>
      </c>
    </row>
    <row s="21605" customFormat="1" customHeight="1" ht="0.75" hidden="1">
      <c r="A174" s="2121"/>
      <c r="B174" s="2121"/>
      <c r="C174" s="710" t="s">
        <v>1266</v>
      </c>
      <c r="D174" s="2803"/>
      <c r="E174" s="2545"/>
      <c r="F174" s="2724"/>
      <c r="G174" s="741"/>
      <c r="H174" s="1841"/>
      <c r="I174" s="992"/>
      <c r="J174" s="912"/>
      <c r="K174" s="1841"/>
      <c r="L174" s="555"/>
      <c r="M174" s="682"/>
      <c r="N174" s="675"/>
      <c r="O174" s="1965"/>
      <c r="P174" s="1965"/>
      <c r="AH174" s="1972">
        <v>0</v>
      </c>
    </row>
    <row s="21605" customFormat="1" customHeight="1" ht="18.75" hidden="1">
      <c r="A175" s="2121" t="s">
        <v>235</v>
      </c>
      <c r="B175" s="2121" t="s">
        <v>236</v>
      </c>
      <c r="C175" s="710"/>
      <c r="D175" s="2803"/>
      <c r="E175" s="2545"/>
      <c r="F175" s="2724" t="str">
        <f>INDEX(PT_DIFFERENTIATION_VTAR,MATCH(A175,PT_DIFFERENTIATION_VTAR_ID,0))</f>
        <v>Плата за подключение (технологическое присоединение) к системе теплоснабжения</v>
      </c>
      <c r="G175" s="2768" t="str">
        <f>INDEX(PT_DIFFERENTIATION_NTAR,MATCH(B175,PT_DIFFERENTIATION_NTAR_ID,0))</f>
        <v/>
      </c>
      <c r="H175" s="2203"/>
      <c r="I175" s="2080"/>
      <c r="J175" s="2114"/>
      <c r="K175" s="2119"/>
      <c r="L175" s="2203" t="s">
        <v>420</v>
      </c>
      <c r="M175" s="682"/>
      <c r="N175" s="675"/>
      <c r="O175" s="1965"/>
      <c r="P175" s="1965"/>
      <c r="AH175" s="1972">
        <v>0</v>
      </c>
    </row>
    <row s="21605" customFormat="1" customHeight="1" ht="18.75" hidden="1">
      <c r="A176" s="2121"/>
      <c r="B176" s="2121"/>
      <c r="C176" s="710" t="s">
        <v>1257</v>
      </c>
      <c r="D176" s="2803"/>
      <c r="E176" s="2545"/>
      <c r="F176" s="2724"/>
      <c r="G176" s="2768"/>
      <c r="H176" s="1841"/>
      <c r="I176" s="992" t="s">
        <v>1256</v>
      </c>
      <c r="J176" s="912"/>
      <c r="K176" s="1841"/>
      <c r="L176" s="555"/>
      <c r="M176" s="682"/>
      <c r="N176" s="675"/>
      <c r="O176" s="1965"/>
      <c r="P176" s="1965"/>
      <c r="AH176" s="1972">
        <v>0</v>
      </c>
    </row>
    <row s="21605" customFormat="1" customHeight="1" ht="0.75" hidden="1">
      <c r="A177" s="2121"/>
      <c r="B177" s="2121"/>
      <c r="C177" s="710" t="s">
        <v>1266</v>
      </c>
      <c r="D177" s="2803"/>
      <c r="E177" s="2545"/>
      <c r="F177" s="2724"/>
      <c r="G177" s="741"/>
      <c r="H177" s="1841"/>
      <c r="I177" s="992"/>
      <c r="J177" s="912"/>
      <c r="K177" s="1841"/>
      <c r="L177" s="555"/>
      <c r="M177" s="682"/>
      <c r="N177" s="675"/>
      <c r="O177" s="1965"/>
      <c r="P177" s="1965"/>
      <c r="AH177" s="1972">
        <v>0</v>
      </c>
    </row>
    <row s="21605" customFormat="1" customHeight="1" ht="18.75" hidden="1">
      <c r="A178" s="2121" t="s">
        <v>241</v>
      </c>
      <c r="B178" s="2121" t="s">
        <v>242</v>
      </c>
      <c r="C178" s="710"/>
      <c r="D178" s="2803"/>
      <c r="E178" s="2545"/>
      <c r="F178" s="2724" t="str">
        <f>INDEX(PT_DIFFERENTIATION_VTAR,MATCH(A178,PT_DIFFERENTIATION_VTAR_ID,0))</f>
        <v>Плата за подключение (технологическое присоединение) к системе теплоснабжения (индивидуальная)</v>
      </c>
      <c r="G178" s="2768" t="str">
        <f>INDEX(PT_DIFFERENTIATION_NTAR,MATCH(B178,PT_DIFFERENTIATION_NTAR_ID,0))</f>
        <v/>
      </c>
      <c r="H178" s="2330"/>
      <c r="I178" s="2080"/>
      <c r="J178" s="2114"/>
      <c r="K178" s="2119"/>
      <c r="L178" s="2330" t="s">
        <v>420</v>
      </c>
      <c r="M178" s="682"/>
      <c r="N178" s="675"/>
      <c r="O178" s="1965"/>
      <c r="P178" s="1965"/>
      <c r="AH178" s="1972">
        <v>0</v>
      </c>
    </row>
    <row s="21605" customFormat="1" customHeight="1" ht="18.75" hidden="1">
      <c r="A179" s="2121"/>
      <c r="B179" s="2121"/>
      <c r="C179" s="710" t="s">
        <v>1257</v>
      </c>
      <c r="D179" s="2803"/>
      <c r="E179" s="2545"/>
      <c r="F179" s="2724"/>
      <c r="G179" s="2768"/>
      <c r="H179" s="1841"/>
      <c r="I179" s="992" t="s">
        <v>1256</v>
      </c>
      <c r="J179" s="912"/>
      <c r="K179" s="1841"/>
      <c r="L179" s="555"/>
      <c r="M179" s="682"/>
      <c r="N179" s="675"/>
      <c r="O179" s="1965"/>
      <c r="P179" s="1965"/>
      <c r="AH179" s="1972">
        <v>0</v>
      </c>
    </row>
    <row s="21605" customFormat="1" customHeight="1" ht="0.75" hidden="1">
      <c r="A180" s="2121"/>
      <c r="B180" s="2121"/>
      <c r="C180" s="710" t="s">
        <v>1266</v>
      </c>
      <c r="D180" s="2803"/>
      <c r="E180" s="2545"/>
      <c r="F180" s="2724"/>
      <c r="G180" s="741"/>
      <c r="H180" s="1841"/>
      <c r="I180" s="992"/>
      <c r="J180" s="912"/>
      <c r="K180" s="1841"/>
      <c r="L180" s="555"/>
      <c r="M180" s="682"/>
      <c r="N180" s="675"/>
      <c r="O180" s="1965"/>
      <c r="P180" s="1965"/>
      <c r="AH180" s="1972">
        <v>0</v>
      </c>
    </row>
    <row s="21605" customFormat="1" customHeight="1" ht="18.75">
      <c r="A181" s="2121" t="s">
        <v>264</v>
      </c>
      <c r="B181" s="2121" t="s">
        <v>265</v>
      </c>
      <c r="C181" s="710"/>
      <c r="D181" s="2803"/>
      <c r="E181" s="2545"/>
      <c r="F181" s="2724" t="str">
        <f>INDEX(PT_DIFFERENTIATION_VTAR,MATCH(A181,PT_DIFFERENTIATION_VTAR_ID,0))</f>
        <v>Тариф на питьевую воду (питьевое водоснабжение)</v>
      </c>
      <c r="G181" s="2768" t="str">
        <f>INDEX(PT_DIFFERENTIATION_NTAR,MATCH(B181,PT_DIFFERENTIATION_NTAR_ID,0))</f>
        <v>Тариф на услуги водоснабжения</v>
      </c>
      <c r="H181" s="2203"/>
      <c r="I181" s="20803">
        <v>45658.61446759259</v>
      </c>
      <c r="J181" s="8238">
        <v>46022.614583333336</v>
      </c>
      <c r="K181" s="2119">
        <v>9488.14</v>
      </c>
      <c r="L181" s="2203" t="s">
        <v>420</v>
      </c>
      <c r="M181" s="682"/>
      <c r="N181" s="675"/>
      <c r="O181" s="1965"/>
      <c r="P181" s="1965"/>
      <c r="AH181" s="1972">
        <v>0</v>
      </c>
    </row>
    <row s="27075" customFormat="1" customHeight="1" ht="56.25">
      <c r="A182" s="7417"/>
      <c r="B182" s="7417"/>
      <c r="C182" s="8239"/>
      <c r="D182" s="8240"/>
      <c r="E182" s="8241"/>
      <c r="F182" s="8241"/>
      <c r="G182" s="8241"/>
      <c r="H182" s="7180" t="s">
        <v>104</v>
      </c>
      <c r="I182" s="8242">
        <v>46023.69991898148</v>
      </c>
      <c r="J182" s="20802">
        <v>46387.70002314815</v>
      </c>
      <c r="K182" s="8243">
        <v>9488.14</v>
      </c>
      <c r="L182" s="7182" t="s">
        <v>420</v>
      </c>
      <c r="M182" s="8244"/>
      <c r="N182" s="8245"/>
      <c r="O182" s="7293"/>
      <c r="P182" s="7293"/>
      <c r="Q182" s="6995"/>
      <c r="R182" s="6995"/>
      <c r="S182" s="6995"/>
      <c r="T182" s="6995"/>
      <c r="U182" s="6995"/>
      <c r="V182" s="6995"/>
      <c r="W182" s="6995"/>
      <c r="X182" s="6995"/>
      <c r="Y182" s="6995"/>
      <c r="Z182" s="6995"/>
      <c r="AA182" s="6995"/>
      <c r="AB182" s="6995"/>
      <c r="AC182" s="6995"/>
      <c r="AD182" s="6995"/>
      <c r="AE182" s="6995"/>
      <c r="AF182" s="6995"/>
      <c r="AG182" s="6995"/>
      <c r="AH182" s="6995">
        <v>0</v>
      </c>
    </row>
    <row s="27075" customFormat="1" customHeight="1" ht="56.25">
      <c r="A183" s="7417"/>
      <c r="B183" s="7417"/>
      <c r="C183" s="8239"/>
      <c r="D183" s="8240"/>
      <c r="E183" s="8241"/>
      <c r="F183" s="8241"/>
      <c r="G183" s="8241"/>
      <c r="H183" s="7180" t="s">
        <v>104</v>
      </c>
      <c r="I183" s="8242">
        <v>46388.700208333335</v>
      </c>
      <c r="J183" s="8238">
        <v>46752.700324074074</v>
      </c>
      <c r="K183" s="8243">
        <v>9488.14</v>
      </c>
      <c r="L183" s="7182" t="s">
        <v>420</v>
      </c>
      <c r="M183" s="8244"/>
      <c r="N183" s="8245"/>
      <c r="O183" s="7293"/>
      <c r="P183" s="7293"/>
      <c r="Q183" s="6995"/>
      <c r="R183" s="6995"/>
      <c r="S183" s="6995"/>
      <c r="T183" s="6995"/>
      <c r="U183" s="6995"/>
      <c r="V183" s="6995"/>
      <c r="W183" s="6995"/>
      <c r="X183" s="6995"/>
      <c r="Y183" s="6995"/>
      <c r="Z183" s="6995"/>
      <c r="AA183" s="6995"/>
      <c r="AB183" s="6995"/>
      <c r="AC183" s="6995"/>
      <c r="AD183" s="6995"/>
      <c r="AE183" s="6995"/>
      <c r="AF183" s="6995"/>
      <c r="AG183" s="6995"/>
      <c r="AH183" s="6995">
        <v>0</v>
      </c>
    </row>
    <row s="27075" customFormat="1" customHeight="1" ht="56.25">
      <c r="A184" s="7417"/>
      <c r="B184" s="7417"/>
      <c r="C184" s="8239"/>
      <c r="D184" s="8240"/>
      <c r="E184" s="8241"/>
      <c r="F184" s="8241"/>
      <c r="G184" s="8241"/>
      <c r="H184" s="7180" t="s">
        <v>104</v>
      </c>
      <c r="I184" s="8242">
        <v>46753.700636574074</v>
      </c>
      <c r="J184" s="8238">
        <v>47118.70079861111</v>
      </c>
      <c r="K184" s="8243">
        <v>9488.14</v>
      </c>
      <c r="L184" s="7182" t="s">
        <v>420</v>
      </c>
      <c r="M184" s="8244"/>
      <c r="N184" s="8245"/>
      <c r="O184" s="7293"/>
      <c r="P184" s="7293"/>
      <c r="Q184" s="6995"/>
      <c r="R184" s="6995"/>
      <c r="S184" s="6995"/>
      <c r="T184" s="6995"/>
      <c r="U184" s="6995"/>
      <c r="V184" s="6995"/>
      <c r="W184" s="6995"/>
      <c r="X184" s="6995"/>
      <c r="Y184" s="6995"/>
      <c r="Z184" s="6995"/>
      <c r="AA184" s="6995"/>
      <c r="AB184" s="6995"/>
      <c r="AC184" s="6995"/>
      <c r="AD184" s="6995"/>
      <c r="AE184" s="6995"/>
      <c r="AF184" s="6995"/>
      <c r="AG184" s="6995"/>
      <c r="AH184" s="6995">
        <v>0</v>
      </c>
    </row>
    <row s="21605" customFormat="1" customHeight="1" ht="18.75">
      <c r="A185" s="2121"/>
      <c r="B185" s="2121"/>
      <c r="C185" s="710" t="s">
        <v>1257</v>
      </c>
      <c r="D185" s="2803"/>
      <c r="E185" s="2545"/>
      <c r="F185" s="2724"/>
      <c r="G185" s="2768"/>
      <c r="H185" s="1841"/>
      <c r="I185" s="992" t="s">
        <v>1256</v>
      </c>
      <c r="J185" s="912"/>
      <c r="K185" s="1841"/>
      <c r="L185" s="555"/>
      <c r="M185" s="682"/>
      <c r="N185" s="675"/>
      <c r="O185" s="1965"/>
      <c r="P185" s="1965"/>
      <c r="AH185" s="1972">
        <v>0</v>
      </c>
    </row>
    <row s="21605" customFormat="1" customHeight="1" ht="0.75">
      <c r="A186" s="2121"/>
      <c r="B186" s="2121"/>
      <c r="C186" s="710" t="s">
        <v>1266</v>
      </c>
      <c r="D186" s="2803"/>
      <c r="E186" s="2545"/>
      <c r="F186" s="2724"/>
      <c r="G186" s="741"/>
      <c r="H186" s="1841"/>
      <c r="I186" s="992"/>
      <c r="J186" s="912"/>
      <c r="K186" s="1841"/>
      <c r="L186" s="555"/>
      <c r="M186" s="682"/>
      <c r="N186" s="675"/>
      <c r="O186" s="1965"/>
      <c r="P186" s="1965"/>
      <c r="AH186" s="1972">
        <v>0</v>
      </c>
    </row>
    <row s="21605" customFormat="1" customHeight="1" ht="32.25">
      <c r="A187" s="2121" t="s">
        <v>344</v>
      </c>
      <c r="B187" s="2121" t="s">
        <v>345</v>
      </c>
      <c r="C187" s="710"/>
      <c r="D187" s="2803"/>
      <c r="E187" s="2545"/>
      <c r="F187" s="2724" t="str">
        <f>INDEX(PT_DIFFERENTIATION_VTAR,MATCH(A187,PT_DIFFERENTIATION_VTAR_ID,0))</f>
        <v>Тариф на техническую воду</v>
      </c>
      <c r="G187" s="2768" t="str">
        <f>INDEX(PT_DIFFERENTIATION_NTAR,MATCH(B187,PT_DIFFERENTIATION_NTAR_ID,0))</f>
        <v/>
      </c>
      <c r="H187" s="2203"/>
      <c r="I187" s="20803">
        <v>45658.6694212963</v>
      </c>
      <c r="J187" s="20802">
        <v>46022.66952546296</v>
      </c>
      <c r="K187" s="2119">
        <v>340.551</v>
      </c>
      <c r="L187" s="2203" t="s">
        <v>420</v>
      </c>
      <c r="M187" s="682"/>
      <c r="N187" s="675"/>
      <c r="O187" s="1965"/>
      <c r="P187" s="1965"/>
      <c r="AH187" s="1972">
        <v>0</v>
      </c>
    </row>
    <row s="23088" customFormat="1" customHeight="1" ht="30">
      <c r="A188" s="16953"/>
      <c r="B188" s="16953"/>
      <c r="C188" s="20816"/>
      <c r="D188" s="20817"/>
      <c r="E188" s="20818"/>
      <c r="F188" s="20818"/>
      <c r="G188" s="20818"/>
      <c r="H188" s="19987" t="s">
        <v>104</v>
      </c>
      <c r="I188" s="20803">
        <v>46023.67010416667</v>
      </c>
      <c r="J188" s="20802">
        <v>46387.67024305555</v>
      </c>
      <c r="K188" s="20819">
        <v>340.551</v>
      </c>
      <c r="L188" s="19989" t="s">
        <v>420</v>
      </c>
      <c r="M188" s="20820"/>
      <c r="N188" s="20821"/>
      <c r="O188" s="16820"/>
      <c r="P188" s="16820"/>
      <c r="Q188" s="16821"/>
      <c r="R188" s="16821"/>
      <c r="S188" s="16821"/>
      <c r="T188" s="16821"/>
      <c r="U188" s="16821"/>
      <c r="V188" s="16821"/>
      <c r="W188" s="16821"/>
      <c r="X188" s="16821"/>
      <c r="Y188" s="16821"/>
      <c r="Z188" s="16821"/>
      <c r="AA188" s="16821"/>
      <c r="AB188" s="16821"/>
      <c r="AC188" s="16821"/>
      <c r="AD188" s="16821"/>
      <c r="AE188" s="16821"/>
      <c r="AF188" s="16821"/>
      <c r="AG188" s="16821"/>
      <c r="AH188" s="16821">
        <v>0</v>
      </c>
    </row>
    <row s="23088" customFormat="1" customHeight="1" ht="56.25">
      <c r="A189" s="16953"/>
      <c r="B189" s="16953"/>
      <c r="C189" s="20816"/>
      <c r="D189" s="20817"/>
      <c r="E189" s="20818"/>
      <c r="F189" s="20818"/>
      <c r="G189" s="20818"/>
      <c r="H189" s="19987" t="s">
        <v>104</v>
      </c>
      <c r="I189" s="20803">
        <v>46388.67045138889</v>
      </c>
      <c r="J189" s="20802">
        <v>46752.67055555555</v>
      </c>
      <c r="K189" s="20819">
        <v>340.551</v>
      </c>
      <c r="L189" s="19989" t="s">
        <v>420</v>
      </c>
      <c r="M189" s="20820"/>
      <c r="N189" s="20821"/>
      <c r="O189" s="16820"/>
      <c r="P189" s="16820"/>
      <c r="Q189" s="16821"/>
      <c r="R189" s="16821"/>
      <c r="S189" s="16821"/>
      <c r="T189" s="16821"/>
      <c r="U189" s="16821"/>
      <c r="V189" s="16821"/>
      <c r="W189" s="16821"/>
      <c r="X189" s="16821"/>
      <c r="Y189" s="16821"/>
      <c r="Z189" s="16821"/>
      <c r="AA189" s="16821"/>
      <c r="AB189" s="16821"/>
      <c r="AC189" s="16821"/>
      <c r="AD189" s="16821"/>
      <c r="AE189" s="16821"/>
      <c r="AF189" s="16821"/>
      <c r="AG189" s="16821"/>
      <c r="AH189" s="16821">
        <v>0</v>
      </c>
    </row>
    <row s="23088" customFormat="1" customHeight="1" ht="56.25">
      <c r="A190" s="16953"/>
      <c r="B190" s="16953"/>
      <c r="C190" s="20816"/>
      <c r="D190" s="20817"/>
      <c r="E190" s="20818"/>
      <c r="F190" s="20818"/>
      <c r="G190" s="20818"/>
      <c r="H190" s="19987" t="s">
        <v>104</v>
      </c>
      <c r="I190" s="20803">
        <v>46753.670694444445</v>
      </c>
      <c r="J190" s="20802">
        <v>47118.670810185184</v>
      </c>
      <c r="K190" s="20819">
        <v>340.551</v>
      </c>
      <c r="L190" s="19989" t="s">
        <v>420</v>
      </c>
      <c r="M190" s="20820"/>
      <c r="N190" s="20821"/>
      <c r="O190" s="16820"/>
      <c r="P190" s="16820"/>
      <c r="Q190" s="16821"/>
      <c r="R190" s="16821"/>
      <c r="S190" s="16821"/>
      <c r="T190" s="16821"/>
      <c r="U190" s="16821"/>
      <c r="V190" s="16821"/>
      <c r="W190" s="16821"/>
      <c r="X190" s="16821"/>
      <c r="Y190" s="16821"/>
      <c r="Z190" s="16821"/>
      <c r="AA190" s="16821"/>
      <c r="AB190" s="16821"/>
      <c r="AC190" s="16821"/>
      <c r="AD190" s="16821"/>
      <c r="AE190" s="16821"/>
      <c r="AF190" s="16821"/>
      <c r="AG190" s="16821"/>
      <c r="AH190" s="16821">
        <v>0</v>
      </c>
    </row>
    <row s="21605" customFormat="1" customHeight="1" ht="18.75">
      <c r="A191" s="2121"/>
      <c r="B191" s="2121"/>
      <c r="C191" s="710" t="s">
        <v>1257</v>
      </c>
      <c r="D191" s="2803"/>
      <c r="E191" s="2545"/>
      <c r="F191" s="2724"/>
      <c r="G191" s="2768"/>
      <c r="H191" s="1841"/>
      <c r="I191" s="992" t="s">
        <v>1256</v>
      </c>
      <c r="J191" s="912"/>
      <c r="K191" s="1841"/>
      <c r="L191" s="555"/>
      <c r="M191" s="682"/>
      <c r="N191" s="675"/>
      <c r="O191" s="1965"/>
      <c r="P191" s="1965"/>
      <c r="AH191" s="1972">
        <v>0</v>
      </c>
    </row>
    <row s="21605" customFormat="1" customHeight="1" ht="0.75">
      <c r="A192" s="2121"/>
      <c r="B192" s="2121"/>
      <c r="C192" s="710" t="s">
        <v>1266</v>
      </c>
      <c r="D192" s="2803"/>
      <c r="E192" s="2545"/>
      <c r="F192" s="2724"/>
      <c r="G192" s="741"/>
      <c r="H192" s="1841"/>
      <c r="I192" s="992"/>
      <c r="J192" s="912"/>
      <c r="K192" s="1841"/>
      <c r="L192" s="555"/>
      <c r="M192" s="682"/>
      <c r="N192" s="675"/>
      <c r="O192" s="1965"/>
      <c r="P192" s="1965"/>
      <c r="AH192" s="1972">
        <v>0</v>
      </c>
    </row>
    <row s="21605" customFormat="1" customHeight="1" ht="18.75" hidden="1">
      <c r="A193" s="2121" t="s">
        <v>349</v>
      </c>
      <c r="B193" s="2121" t="s">
        <v>350</v>
      </c>
      <c r="C193" s="710"/>
      <c r="D193" s="2803"/>
      <c r="E193" s="2545"/>
      <c r="F193" s="2724" t="str">
        <f>INDEX(PT_DIFFERENTIATION_VTAR,MATCH(A193,PT_DIFFERENTIATION_VTAR_ID,0))</f>
        <v>Тариф на транспортировку воды</v>
      </c>
      <c r="G193" s="2768" t="str">
        <f>INDEX(PT_DIFFERENTIATION_NTAR,MATCH(B193,PT_DIFFERENTIATION_NTAR_ID,0))</f>
        <v/>
      </c>
      <c r="H193" s="2203"/>
      <c r="I193" s="2080"/>
      <c r="J193" s="2114"/>
      <c r="K193" s="2119"/>
      <c r="L193" s="2203" t="s">
        <v>420</v>
      </c>
      <c r="M193" s="682"/>
      <c r="N193" s="675"/>
      <c r="O193" s="1965"/>
      <c r="P193" s="1965"/>
      <c r="AH193" s="1972">
        <v>0</v>
      </c>
    </row>
    <row s="21605" customFormat="1" customHeight="1" ht="18.75" hidden="1">
      <c r="A194" s="2121"/>
      <c r="B194" s="2121"/>
      <c r="C194" s="710" t="s">
        <v>1257</v>
      </c>
      <c r="D194" s="2803"/>
      <c r="E194" s="2545"/>
      <c r="F194" s="2724"/>
      <c r="G194" s="2768"/>
      <c r="H194" s="1841"/>
      <c r="I194" s="992" t="s">
        <v>1256</v>
      </c>
      <c r="J194" s="912"/>
      <c r="K194" s="1841"/>
      <c r="L194" s="555"/>
      <c r="M194" s="682"/>
      <c r="N194" s="675"/>
      <c r="O194" s="1965"/>
      <c r="P194" s="1965"/>
      <c r="AH194" s="1972">
        <v>0</v>
      </c>
    </row>
    <row s="21605" customFormat="1" customHeight="1" ht="0.75" hidden="1">
      <c r="A195" s="2121"/>
      <c r="B195" s="2121"/>
      <c r="C195" s="710" t="s">
        <v>1266</v>
      </c>
      <c r="D195" s="2803"/>
      <c r="E195" s="2545"/>
      <c r="F195" s="2724"/>
      <c r="G195" s="741"/>
      <c r="H195" s="1841"/>
      <c r="I195" s="992"/>
      <c r="J195" s="912"/>
      <c r="K195" s="1841"/>
      <c r="L195" s="555"/>
      <c r="M195" s="682"/>
      <c r="N195" s="675"/>
      <c r="O195" s="1965"/>
      <c r="P195" s="1965"/>
      <c r="AH195" s="1972">
        <v>0</v>
      </c>
    </row>
    <row s="21605" customFormat="1" customHeight="1" ht="18.75" hidden="1">
      <c r="A196" s="2121" t="s">
        <v>354</v>
      </c>
      <c r="B196" s="2121" t="s">
        <v>355</v>
      </c>
      <c r="C196" s="710"/>
      <c r="D196" s="2803"/>
      <c r="E196" s="2545"/>
      <c r="F196" s="2724" t="str">
        <f>INDEX(PT_DIFFERENTIATION_VTAR,MATCH(A196,PT_DIFFERENTIATION_VTAR_ID,0))</f>
        <v>Тариф на подвоз воды</v>
      </c>
      <c r="G196" s="2768" t="str">
        <f>INDEX(PT_DIFFERENTIATION_NTAR,MATCH(B196,PT_DIFFERENTIATION_NTAR_ID,0))</f>
        <v/>
      </c>
      <c r="H196" s="2203"/>
      <c r="I196" s="2080"/>
      <c r="J196" s="2114"/>
      <c r="K196" s="2119"/>
      <c r="L196" s="2203" t="s">
        <v>420</v>
      </c>
      <c r="M196" s="682"/>
      <c r="N196" s="675"/>
      <c r="O196" s="1965"/>
      <c r="P196" s="1965"/>
      <c r="AH196" s="1972">
        <v>0</v>
      </c>
    </row>
    <row s="21605" customFormat="1" customHeight="1" ht="18.75" hidden="1">
      <c r="A197" s="2121"/>
      <c r="B197" s="2121"/>
      <c r="C197" s="710" t="s">
        <v>1257</v>
      </c>
      <c r="D197" s="2803"/>
      <c r="E197" s="2545"/>
      <c r="F197" s="2724"/>
      <c r="G197" s="2768"/>
      <c r="H197" s="1841"/>
      <c r="I197" s="992" t="s">
        <v>1256</v>
      </c>
      <c r="J197" s="912"/>
      <c r="K197" s="1841"/>
      <c r="L197" s="555"/>
      <c r="M197" s="682"/>
      <c r="N197" s="675"/>
      <c r="O197" s="1965"/>
      <c r="P197" s="1965"/>
      <c r="AH197" s="1972">
        <v>0</v>
      </c>
    </row>
    <row s="21605" customFormat="1" customHeight="1" ht="0.75" hidden="1">
      <c r="A198" s="2121"/>
      <c r="B198" s="2121"/>
      <c r="C198" s="710" t="s">
        <v>1266</v>
      </c>
      <c r="D198" s="2803"/>
      <c r="E198" s="2545"/>
      <c r="F198" s="2724"/>
      <c r="G198" s="741"/>
      <c r="H198" s="1841"/>
      <c r="I198" s="992"/>
      <c r="J198" s="912"/>
      <c r="K198" s="1841"/>
      <c r="L198" s="555"/>
      <c r="M198" s="682"/>
      <c r="N198" s="675"/>
      <c r="O198" s="1965"/>
      <c r="P198" s="1965"/>
      <c r="AH198" s="1972">
        <v>0</v>
      </c>
    </row>
    <row s="21605" customFormat="1" customHeight="1" ht="18.75" hidden="1">
      <c r="A199" s="2121" t="s">
        <v>359</v>
      </c>
      <c r="B199" s="2121" t="s">
        <v>360</v>
      </c>
      <c r="C199" s="710"/>
      <c r="D199" s="2803"/>
      <c r="E199" s="2545"/>
      <c r="F199" s="2724"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768" t="str">
        <f>INDEX(PT_DIFFERENTIATION_NTAR,MATCH(B199,PT_DIFFERENTIATION_NTAR_ID,0))</f>
        <v/>
      </c>
      <c r="H199" s="2203"/>
      <c r="I199" s="2080"/>
      <c r="J199" s="2114"/>
      <c r="K199" s="2119"/>
      <c r="L199" s="2203" t="s">
        <v>420</v>
      </c>
      <c r="M199" s="682"/>
      <c r="N199" s="675"/>
      <c r="O199" s="1965"/>
      <c r="P199" s="1965"/>
      <c r="AH199" s="1972">
        <v>0</v>
      </c>
    </row>
    <row s="21605" customFormat="1" customHeight="1" ht="18.75" hidden="1">
      <c r="A200" s="2121"/>
      <c r="B200" s="2121"/>
      <c r="C200" s="710" t="s">
        <v>1257</v>
      </c>
      <c r="D200" s="2803"/>
      <c r="E200" s="2545"/>
      <c r="F200" s="2724"/>
      <c r="G200" s="2768"/>
      <c r="H200" s="1841"/>
      <c r="I200" s="992" t="s">
        <v>1256</v>
      </c>
      <c r="J200" s="912"/>
      <c r="K200" s="1841"/>
      <c r="L200" s="555"/>
      <c r="M200" s="682"/>
      <c r="N200" s="675"/>
      <c r="O200" s="1965"/>
      <c r="P200" s="1965"/>
      <c r="AH200" s="1972">
        <v>0</v>
      </c>
    </row>
    <row s="21605" customFormat="1" customHeight="1" ht="0.75" hidden="1">
      <c r="A201" s="2121"/>
      <c r="B201" s="2121"/>
      <c r="C201" s="710" t="s">
        <v>1266</v>
      </c>
      <c r="D201" s="2803"/>
      <c r="E201" s="2545"/>
      <c r="F201" s="2724"/>
      <c r="G201" s="741"/>
      <c r="H201" s="1841"/>
      <c r="I201" s="992"/>
      <c r="J201" s="912"/>
      <c r="K201" s="1841"/>
      <c r="L201" s="555"/>
      <c r="M201" s="682"/>
      <c r="N201" s="675"/>
      <c r="O201" s="1965"/>
      <c r="P201" s="1965"/>
      <c r="AH201" s="1972">
        <v>0</v>
      </c>
    </row>
    <row s="21605" customFormat="1" customHeight="1" ht="18.75" hidden="1">
      <c r="A202" s="2121" t="s">
        <v>364</v>
      </c>
      <c r="B202" s="2121" t="s">
        <v>365</v>
      </c>
      <c r="C202" s="710"/>
      <c r="D202" s="2803"/>
      <c r="E202" s="2545"/>
      <c r="F202" s="2724" t="str">
        <f>INDEX(PT_DIFFERENTIATION_VTAR,MATCH(A202,PT_DIFFERENTIATION_VTAR_ID,0))</f>
        <v>Тариф на горячую воду (горячее водоснабжение)</v>
      </c>
      <c r="G202" s="2768" t="str">
        <f>INDEX(PT_DIFFERENTIATION_NTAR,MATCH(B202,PT_DIFFERENTIATION_NTAR_ID,0))</f>
        <v/>
      </c>
      <c r="H202" s="2203"/>
      <c r="I202" s="2080"/>
      <c r="J202" s="2114"/>
      <c r="K202" s="2119"/>
      <c r="L202" s="2203" t="s">
        <v>420</v>
      </c>
      <c r="M202" s="682"/>
      <c r="N202" s="675"/>
      <c r="O202" s="1965"/>
      <c r="P202" s="1965"/>
      <c r="AH202" s="1972">
        <v>0</v>
      </c>
    </row>
    <row s="21605" customFormat="1" customHeight="1" ht="18.75" hidden="1">
      <c r="A203" s="2121"/>
      <c r="B203" s="2121"/>
      <c r="C203" s="710" t="s">
        <v>1257</v>
      </c>
      <c r="D203" s="2803"/>
      <c r="E203" s="2545"/>
      <c r="F203" s="2724"/>
      <c r="G203" s="2768"/>
      <c r="H203" s="1841"/>
      <c r="I203" s="992" t="s">
        <v>1256</v>
      </c>
      <c r="J203" s="912"/>
      <c r="K203" s="1841"/>
      <c r="L203" s="555"/>
      <c r="M203" s="682"/>
      <c r="N203" s="675"/>
      <c r="O203" s="1965"/>
      <c r="P203" s="1965"/>
      <c r="AH203" s="1972">
        <v>0</v>
      </c>
    </row>
    <row s="21605" customFormat="1" customHeight="1" ht="0.75" hidden="1">
      <c r="A204" s="2121"/>
      <c r="B204" s="2121"/>
      <c r="C204" s="710" t="s">
        <v>1266</v>
      </c>
      <c r="D204" s="2803"/>
      <c r="E204" s="2545"/>
      <c r="F204" s="2724"/>
      <c r="G204" s="741"/>
      <c r="H204" s="1841"/>
      <c r="I204" s="992"/>
      <c r="J204" s="912"/>
      <c r="K204" s="1841"/>
      <c r="L204" s="555"/>
      <c r="M204" s="682"/>
      <c r="N204" s="675"/>
      <c r="O204" s="1965"/>
      <c r="P204" s="1965"/>
      <c r="AH204" s="1972">
        <v>0</v>
      </c>
    </row>
    <row s="21605" customFormat="1" customHeight="1" ht="18.75" hidden="1">
      <c r="A205" s="2121" t="s">
        <v>369</v>
      </c>
      <c r="B205" s="2121" t="s">
        <v>370</v>
      </c>
      <c r="C205" s="710"/>
      <c r="D205" s="2803"/>
      <c r="E205" s="2545"/>
      <c r="F205" s="2724" t="str">
        <f>INDEX(PT_DIFFERENTIATION_VTAR,MATCH(A205,PT_DIFFERENTIATION_VTAR_ID,0))</f>
        <v>Тариф на транспортировку горячей воды</v>
      </c>
      <c r="G205" s="2768" t="str">
        <f>INDEX(PT_DIFFERENTIATION_NTAR,MATCH(B205,PT_DIFFERENTIATION_NTAR_ID,0))</f>
        <v/>
      </c>
      <c r="H205" s="2203"/>
      <c r="I205" s="2080"/>
      <c r="J205" s="2114"/>
      <c r="K205" s="2119"/>
      <c r="L205" s="2203" t="s">
        <v>420</v>
      </c>
      <c r="M205" s="682"/>
      <c r="N205" s="675"/>
      <c r="O205" s="1965"/>
      <c r="P205" s="1965"/>
      <c r="AH205" s="1972">
        <v>0</v>
      </c>
    </row>
    <row s="21605" customFormat="1" customHeight="1" ht="18.75" hidden="1">
      <c r="A206" s="2121"/>
      <c r="B206" s="2121"/>
      <c r="C206" s="710" t="s">
        <v>1257</v>
      </c>
      <c r="D206" s="2803"/>
      <c r="E206" s="2545"/>
      <c r="F206" s="2724"/>
      <c r="G206" s="2768"/>
      <c r="H206" s="1841"/>
      <c r="I206" s="992" t="s">
        <v>1256</v>
      </c>
      <c r="J206" s="912"/>
      <c r="K206" s="1841"/>
      <c r="L206" s="555"/>
      <c r="M206" s="682"/>
      <c r="N206" s="675"/>
      <c r="O206" s="1965"/>
      <c r="P206" s="1965"/>
      <c r="AH206" s="1972">
        <v>0</v>
      </c>
    </row>
    <row s="21605" customFormat="1" customHeight="1" ht="0.75" hidden="1">
      <c r="A207" s="2121"/>
      <c r="B207" s="2121"/>
      <c r="C207" s="710" t="s">
        <v>1266</v>
      </c>
      <c r="D207" s="2803"/>
      <c r="E207" s="2545"/>
      <c r="F207" s="2724"/>
      <c r="G207" s="741"/>
      <c r="H207" s="1841"/>
      <c r="I207" s="992"/>
      <c r="J207" s="912"/>
      <c r="K207" s="1841"/>
      <c r="L207" s="555"/>
      <c r="M207" s="682"/>
      <c r="N207" s="675"/>
      <c r="O207" s="1965"/>
      <c r="P207" s="1965"/>
      <c r="AH207" s="1972">
        <v>0</v>
      </c>
    </row>
    <row s="21605" customFormat="1" customHeight="1" ht="18.75" hidden="1">
      <c r="A208" s="2121" t="s">
        <v>374</v>
      </c>
      <c r="B208" s="2121" t="s">
        <v>375</v>
      </c>
      <c r="C208" s="710"/>
      <c r="D208" s="2803"/>
      <c r="E208" s="2545"/>
      <c r="F208" s="2724" t="str">
        <f>INDEX(PT_DIFFERENTIATION_VTAR,MATCH(A208,PT_DIFFERENTIATION_VTAR_ID,0))</f>
        <v>Тариф на подключение (технологическое присоединение) к централизованной системе горячего водоснабжения</v>
      </c>
      <c r="G208" s="2768" t="str">
        <f>INDEX(PT_DIFFERENTIATION_NTAR,MATCH(B208,PT_DIFFERENTIATION_NTAR_ID,0))</f>
        <v/>
      </c>
      <c r="H208" s="2203"/>
      <c r="I208" s="2080"/>
      <c r="J208" s="2114"/>
      <c r="K208" s="2119"/>
      <c r="L208" s="2203" t="s">
        <v>420</v>
      </c>
      <c r="M208" s="682"/>
      <c r="N208" s="675"/>
      <c r="O208" s="1965"/>
      <c r="P208" s="1965"/>
      <c r="AH208" s="1972">
        <v>0</v>
      </c>
    </row>
    <row s="21605" customFormat="1" customHeight="1" ht="18.75" hidden="1">
      <c r="A209" s="2121"/>
      <c r="B209" s="2121"/>
      <c r="C209" s="710" t="s">
        <v>1257</v>
      </c>
      <c r="D209" s="2803"/>
      <c r="E209" s="2545"/>
      <c r="F209" s="2724"/>
      <c r="G209" s="2768"/>
      <c r="H209" s="1841"/>
      <c r="I209" s="992" t="s">
        <v>1256</v>
      </c>
      <c r="J209" s="912"/>
      <c r="K209" s="1841"/>
      <c r="L209" s="555"/>
      <c r="M209" s="682"/>
      <c r="N209" s="675"/>
      <c r="O209" s="1965"/>
      <c r="P209" s="1965"/>
      <c r="AH209" s="1972">
        <v>0</v>
      </c>
    </row>
    <row s="21605" customFormat="1" customHeight="1" ht="0.75" hidden="1">
      <c r="A210" s="2121"/>
      <c r="B210" s="2121"/>
      <c r="C210" s="710" t="s">
        <v>1266</v>
      </c>
      <c r="D210" s="2803"/>
      <c r="E210" s="2545"/>
      <c r="F210" s="2724"/>
      <c r="G210" s="741"/>
      <c r="H210" s="1841"/>
      <c r="I210" s="992"/>
      <c r="J210" s="912"/>
      <c r="K210" s="1841"/>
      <c r="L210" s="555"/>
      <c r="M210" s="682"/>
      <c r="N210" s="675"/>
      <c r="O210" s="1965"/>
      <c r="P210" s="1965"/>
      <c r="AH210" s="1972">
        <v>0</v>
      </c>
    </row>
    <row s="21605" customFormat="1" customHeight="1" ht="18.75" hidden="1">
      <c r="A211" s="2121" t="s">
        <v>379</v>
      </c>
      <c r="B211" s="2121" t="s">
        <v>380</v>
      </c>
      <c r="C211" s="710"/>
      <c r="D211" s="2803"/>
      <c r="E211" s="2545"/>
      <c r="F211" s="2724" t="str">
        <f>INDEX(PT_DIFFERENTIATION_VTAR,MATCH(A211,PT_DIFFERENTIATION_VTAR_ID,0))</f>
        <v>Тариф на водоотведение</v>
      </c>
      <c r="G211" s="2768" t="str">
        <f>INDEX(PT_DIFFERENTIATION_NTAR,MATCH(B211,PT_DIFFERENTIATION_NTAR_ID,0))</f>
        <v/>
      </c>
      <c r="H211" s="2203"/>
      <c r="I211" s="2080"/>
      <c r="J211" s="2114"/>
      <c r="K211" s="2119"/>
      <c r="L211" s="2203" t="s">
        <v>420</v>
      </c>
      <c r="M211" s="682"/>
      <c r="N211" s="675"/>
      <c r="O211" s="1965"/>
      <c r="P211" s="1965"/>
      <c r="AH211" s="1972">
        <v>0</v>
      </c>
    </row>
    <row s="21605" customFormat="1" customHeight="1" ht="18.75" hidden="1">
      <c r="A212" s="2121"/>
      <c r="B212" s="2121"/>
      <c r="C212" s="710" t="s">
        <v>1257</v>
      </c>
      <c r="D212" s="2803"/>
      <c r="E212" s="2545"/>
      <c r="F212" s="2724"/>
      <c r="G212" s="2768"/>
      <c r="H212" s="1841"/>
      <c r="I212" s="992" t="s">
        <v>1256</v>
      </c>
      <c r="J212" s="912"/>
      <c r="K212" s="1841"/>
      <c r="L212" s="555"/>
      <c r="M212" s="682"/>
      <c r="N212" s="675"/>
      <c r="O212" s="1965"/>
      <c r="P212" s="1965"/>
      <c r="AH212" s="1972">
        <v>0</v>
      </c>
    </row>
    <row s="21605" customFormat="1" customHeight="1" ht="0.75" hidden="1">
      <c r="A213" s="2121"/>
      <c r="B213" s="2121"/>
      <c r="C213" s="710" t="s">
        <v>1266</v>
      </c>
      <c r="D213" s="2803"/>
      <c r="E213" s="2545"/>
      <c r="F213" s="2724"/>
      <c r="G213" s="741"/>
      <c r="H213" s="1841"/>
      <c r="I213" s="992"/>
      <c r="J213" s="912"/>
      <c r="K213" s="1841"/>
      <c r="L213" s="555"/>
      <c r="M213" s="682"/>
      <c r="N213" s="675"/>
      <c r="O213" s="1965"/>
      <c r="P213" s="1965"/>
      <c r="AH213" s="1972">
        <v>0</v>
      </c>
    </row>
    <row s="21605" customFormat="1" customHeight="1" ht="18.75" hidden="1">
      <c r="A214" s="2121" t="s">
        <v>384</v>
      </c>
      <c r="B214" s="2121" t="s">
        <v>385</v>
      </c>
      <c r="C214" s="710"/>
      <c r="D214" s="2803"/>
      <c r="E214" s="2545"/>
      <c r="F214" s="2724" t="str">
        <f>INDEX(PT_DIFFERENTIATION_VTAR,MATCH(A214,PT_DIFFERENTIATION_VTAR_ID,0))</f>
        <v>Тариф на транспортировку сточных вод</v>
      </c>
      <c r="G214" s="2768" t="str">
        <f>INDEX(PT_DIFFERENTIATION_NTAR,MATCH(B214,PT_DIFFERENTIATION_NTAR_ID,0))</f>
        <v/>
      </c>
      <c r="H214" s="2203"/>
      <c r="I214" s="2080"/>
      <c r="J214" s="2114"/>
      <c r="K214" s="2119"/>
      <c r="L214" s="2203" t="s">
        <v>420</v>
      </c>
      <c r="M214" s="682"/>
      <c r="N214" s="675"/>
      <c r="O214" s="1965"/>
      <c r="P214" s="1965"/>
      <c r="AH214" s="1972">
        <v>0</v>
      </c>
    </row>
    <row s="21605" customFormat="1" customHeight="1" ht="18.75" hidden="1">
      <c r="A215" s="2121"/>
      <c r="B215" s="2121"/>
      <c r="C215" s="710" t="s">
        <v>1257</v>
      </c>
      <c r="D215" s="2803"/>
      <c r="E215" s="2545"/>
      <c r="F215" s="2724"/>
      <c r="G215" s="2768"/>
      <c r="H215" s="1841"/>
      <c r="I215" s="992" t="s">
        <v>1256</v>
      </c>
      <c r="J215" s="912"/>
      <c r="K215" s="1841"/>
      <c r="L215" s="555"/>
      <c r="M215" s="682"/>
      <c r="N215" s="675"/>
      <c r="O215" s="1965"/>
      <c r="P215" s="1965"/>
      <c r="AH215" s="1972">
        <v>0</v>
      </c>
    </row>
    <row s="21605" customFormat="1" customHeight="1" ht="0.75" hidden="1">
      <c r="A216" s="2121"/>
      <c r="B216" s="2121"/>
      <c r="C216" s="710" t="s">
        <v>1266</v>
      </c>
      <c r="D216" s="2803"/>
      <c r="E216" s="2545"/>
      <c r="F216" s="2724"/>
      <c r="G216" s="741"/>
      <c r="H216" s="1841"/>
      <c r="I216" s="992"/>
      <c r="J216" s="912"/>
      <c r="K216" s="1841"/>
      <c r="L216" s="555"/>
      <c r="M216" s="682"/>
      <c r="N216" s="675"/>
      <c r="O216" s="1965"/>
      <c r="P216" s="1965"/>
      <c r="AH216" s="1972">
        <v>0</v>
      </c>
    </row>
    <row s="21605" customFormat="1" customHeight="1" ht="18.75" hidden="1">
      <c r="A217" s="2121" t="s">
        <v>389</v>
      </c>
      <c r="B217" s="2121" t="s">
        <v>390</v>
      </c>
      <c r="C217" s="710"/>
      <c r="D217" s="2803"/>
      <c r="E217" s="2545"/>
      <c r="F217" s="2724" t="str">
        <f>INDEX(PT_DIFFERENTIATION_VTAR,MATCH(A217,PT_DIFFERENTIATION_VTAR_ID,0))</f>
        <v>Тариф на подключение (технологическое присоединение) к централизованной системе водоотведения</v>
      </c>
      <c r="G217" s="2768" t="str">
        <f>INDEX(PT_DIFFERENTIATION_NTAR,MATCH(B217,PT_DIFFERENTIATION_NTAR_ID,0))</f>
        <v/>
      </c>
      <c r="H217" s="2203"/>
      <c r="I217" s="2080"/>
      <c r="J217" s="2114"/>
      <c r="K217" s="2119"/>
      <c r="L217" s="2203" t="s">
        <v>420</v>
      </c>
      <c r="M217" s="682"/>
      <c r="N217" s="675"/>
      <c r="O217" s="1965"/>
      <c r="P217" s="1965"/>
      <c r="AH217" s="1972">
        <v>0</v>
      </c>
    </row>
    <row s="21605" customFormat="1" customHeight="1" ht="18.75" hidden="1">
      <c r="A218" s="2121"/>
      <c r="B218" s="2121"/>
      <c r="C218" s="710" t="s">
        <v>1257</v>
      </c>
      <c r="D218" s="2803"/>
      <c r="E218" s="2545"/>
      <c r="F218" s="2724"/>
      <c r="G218" s="2768"/>
      <c r="H218" s="1841"/>
      <c r="I218" s="992" t="s">
        <v>1256</v>
      </c>
      <c r="J218" s="912"/>
      <c r="K218" s="1841"/>
      <c r="L218" s="555"/>
      <c r="M218" s="682"/>
      <c r="N218" s="675"/>
      <c r="O218" s="1965"/>
      <c r="P218" s="1965"/>
      <c r="AH218" s="1972">
        <v>0</v>
      </c>
    </row>
    <row s="21605" customFormat="1" customHeight="1" ht="1.05">
      <c r="A219" s="2121"/>
      <c r="B219" s="2121"/>
      <c r="C219" s="710" t="s">
        <v>1266</v>
      </c>
      <c r="D219" s="2803"/>
      <c r="E219" s="2545"/>
      <c r="F219" s="2724"/>
      <c r="G219" s="741"/>
      <c r="H219" s="1841"/>
      <c r="I219" s="992"/>
      <c r="J219" s="912"/>
      <c r="K219" s="1841"/>
      <c r="L219" s="555"/>
      <c r="M219" s="682"/>
      <c r="N219" s="675"/>
      <c r="O219" s="1965"/>
      <c r="P219" s="1965"/>
      <c r="AH219" s="1972">
        <v>1</v>
      </c>
    </row>
    <row customHeight="1" ht="27.299999999999997">
      <c r="A220" s="2121"/>
      <c r="B220" s="2121"/>
      <c r="D220" s="717"/>
      <c r="E220" s="488" t="s">
        <v>116</v>
      </c>
      <c r="F220"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801"/>
      <c r="H220" s="2801"/>
      <c r="I220" s="2801"/>
      <c r="J220" s="2801"/>
      <c r="K220" s="2801"/>
      <c r="L220" s="2801"/>
      <c r="M220" s="638"/>
      <c r="N220" s="675"/>
      <c r="AH220" s="715">
        <v>26</v>
      </c>
    </row>
    <row s="21605" customFormat="1" customHeight="1" ht="60.75" hidden="1">
      <c r="A221" s="2121" t="s">
        <v>193</v>
      </c>
      <c r="B221" s="2121" t="s">
        <v>194</v>
      </c>
      <c r="C221" s="710"/>
      <c r="D221" s="2803"/>
      <c r="E221" s="2545"/>
      <c r="F221" s="2724"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768" t="str">
        <f>INDEX(PT_DIFFERENTIATION_NTAR,MATCH(B221,PT_DIFFERENTIATION_NTAR_ID,0))</f>
        <v/>
      </c>
      <c r="H221" s="2203"/>
      <c r="I221" s="2080"/>
      <c r="J221" s="2114"/>
      <c r="K221" s="2119"/>
      <c r="L221" s="2203" t="s">
        <v>420</v>
      </c>
      <c r="M221"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675"/>
      <c r="O221" s="1965"/>
      <c r="P221" s="1965"/>
      <c r="AH221" s="1972">
        <v>0</v>
      </c>
    </row>
    <row s="21605" customFormat="1" customHeight="1" ht="18.75" hidden="1">
      <c r="A222" s="2121"/>
      <c r="B222" s="2121"/>
      <c r="C222" s="710" t="s">
        <v>1257</v>
      </c>
      <c r="D222" s="2803"/>
      <c r="E222" s="2545"/>
      <c r="F222" s="2724"/>
      <c r="G222" s="2768"/>
      <c r="H222" s="1841"/>
      <c r="I222" s="992" t="s">
        <v>1256</v>
      </c>
      <c r="J222" s="912"/>
      <c r="K222" s="1841"/>
      <c r="L222" s="555"/>
      <c r="M222" s="2511"/>
      <c r="N222" s="675"/>
      <c r="O222" s="1965"/>
      <c r="P222" s="1965"/>
      <c r="AH222" s="1972">
        <v>0</v>
      </c>
    </row>
    <row s="21605" customFormat="1" customHeight="1" ht="0.75" hidden="1">
      <c r="A223" s="2121"/>
      <c r="B223" s="2121"/>
      <c r="C223" s="710" t="s">
        <v>1266</v>
      </c>
      <c r="D223" s="2803"/>
      <c r="E223" s="2545"/>
      <c r="F223" s="2724"/>
      <c r="G223" s="741"/>
      <c r="H223" s="1841"/>
      <c r="I223" s="992"/>
      <c r="J223" s="912"/>
      <c r="K223" s="1841"/>
      <c r="L223" s="555"/>
      <c r="M223" s="2511"/>
      <c r="N223" s="675"/>
      <c r="O223" s="1965"/>
      <c r="P223" s="1965"/>
      <c r="AH223" s="1972">
        <v>0</v>
      </c>
    </row>
    <row s="21605" customFormat="1" customHeight="1" ht="45" hidden="1">
      <c r="A224" s="2121" t="s">
        <v>198</v>
      </c>
      <c r="B224" s="2121" t="s">
        <v>199</v>
      </c>
      <c r="C224" s="710"/>
      <c r="D224" s="2803"/>
      <c r="E224" s="2545"/>
      <c r="F224" s="2724" t="str">
        <f>INDEX(PT_DIFFERENTIATION_VTAR,MATCH(A224,PT_DIFFERENTIATION_VTAR_ID,0))</f>
        <v/>
      </c>
      <c r="G224" s="2768" t="str">
        <f>INDEX(PT_DIFFERENTIATION_NTAR,MATCH(B224,PT_DIFFERENTIATION_NTAR_ID,0))</f>
        <v/>
      </c>
      <c r="H224" s="2203"/>
      <c r="I224" s="2080"/>
      <c r="J224" s="2114"/>
      <c r="K224" s="2119"/>
      <c r="L224" s="2203" t="s">
        <v>420</v>
      </c>
      <c r="M224" s="2512"/>
      <c r="N224" s="675"/>
      <c r="O224" s="1965"/>
      <c r="P224" s="1965"/>
      <c r="AH224" s="1972">
        <v>0</v>
      </c>
    </row>
    <row s="21605" customFormat="1" customHeight="1" ht="18.75" hidden="1">
      <c r="A225" s="2121"/>
      <c r="B225" s="2121"/>
      <c r="C225" s="710" t="s">
        <v>1257</v>
      </c>
      <c r="D225" s="2803"/>
      <c r="E225" s="2545"/>
      <c r="F225" s="2724"/>
      <c r="G225" s="2768"/>
      <c r="H225" s="1841"/>
      <c r="I225" s="992" t="s">
        <v>1256</v>
      </c>
      <c r="J225" s="912"/>
      <c r="K225" s="1841"/>
      <c r="L225" s="555"/>
      <c r="M225" s="2202"/>
      <c r="N225" s="675"/>
      <c r="O225" s="1965"/>
      <c r="P225" s="1965"/>
      <c r="AH225" s="1972">
        <v>0</v>
      </c>
    </row>
    <row s="21605" customFormat="1" customHeight="1" ht="0.75" hidden="1">
      <c r="A226" s="2121"/>
      <c r="B226" s="2121"/>
      <c r="C226" s="710" t="s">
        <v>1266</v>
      </c>
      <c r="D226" s="2803"/>
      <c r="E226" s="2545"/>
      <c r="F226" s="2724"/>
      <c r="G226" s="741"/>
      <c r="H226" s="1841"/>
      <c r="I226" s="992"/>
      <c r="J226" s="912"/>
      <c r="K226" s="1841"/>
      <c r="L226" s="555"/>
      <c r="M226" s="682"/>
      <c r="N226" s="675"/>
      <c r="O226" s="1965"/>
      <c r="P226" s="1965"/>
      <c r="AH226" s="1972">
        <v>0</v>
      </c>
    </row>
    <row s="21605" customFormat="1" customHeight="1" ht="45" hidden="1">
      <c r="A227" s="2121" t="s">
        <v>205</v>
      </c>
      <c r="B227" s="2121" t="s">
        <v>206</v>
      </c>
      <c r="C227" s="710"/>
      <c r="D227" s="2803"/>
      <c r="E227" s="2545"/>
      <c r="F227" s="272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768" t="str">
        <f>INDEX(PT_DIFFERENTIATION_NTAR,MATCH(B227,PT_DIFFERENTIATION_NTAR_ID,0))</f>
        <v/>
      </c>
      <c r="H227" s="2203"/>
      <c r="I227" s="2080"/>
      <c r="J227" s="2114"/>
      <c r="K227" s="2119"/>
      <c r="L227" s="2203" t="s">
        <v>420</v>
      </c>
      <c r="M227" s="682"/>
      <c r="N227" s="675"/>
      <c r="O227" s="1965"/>
      <c r="P227" s="1965"/>
      <c r="AH227" s="1972">
        <v>0</v>
      </c>
    </row>
    <row s="21605" customFormat="1" customHeight="1" ht="18.75" hidden="1">
      <c r="A228" s="2121"/>
      <c r="B228" s="2121"/>
      <c r="C228" s="710" t="s">
        <v>1257</v>
      </c>
      <c r="D228" s="2803"/>
      <c r="E228" s="2545"/>
      <c r="F228" s="2724"/>
      <c r="G228" s="2768"/>
      <c r="H228" s="1841"/>
      <c r="I228" s="992" t="s">
        <v>1256</v>
      </c>
      <c r="J228" s="912"/>
      <c r="K228" s="1841"/>
      <c r="L228" s="555"/>
      <c r="M228" s="682"/>
      <c r="N228" s="675"/>
      <c r="O228" s="1965"/>
      <c r="P228" s="1965"/>
      <c r="AH228" s="1972">
        <v>0</v>
      </c>
    </row>
    <row s="21605" customFormat="1" customHeight="1" ht="0.75" hidden="1">
      <c r="A229" s="2121"/>
      <c r="B229" s="2121"/>
      <c r="C229" s="710" t="s">
        <v>1266</v>
      </c>
      <c r="D229" s="2803"/>
      <c r="E229" s="2545"/>
      <c r="F229" s="2724"/>
      <c r="G229" s="741"/>
      <c r="H229" s="1841"/>
      <c r="I229" s="992"/>
      <c r="J229" s="912"/>
      <c r="K229" s="1841"/>
      <c r="L229" s="555"/>
      <c r="M229" s="682"/>
      <c r="N229" s="675"/>
      <c r="O229" s="1965"/>
      <c r="P229" s="1965"/>
      <c r="AH229" s="1972">
        <v>0</v>
      </c>
    </row>
    <row s="21605" customFormat="1" customHeight="1" ht="45" hidden="1">
      <c r="A230" s="2121" t="s">
        <v>211</v>
      </c>
      <c r="B230" s="2121" t="s">
        <v>212</v>
      </c>
      <c r="C230" s="710"/>
      <c r="D230" s="2803"/>
      <c r="E230" s="2545"/>
      <c r="F230" s="272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768" t="str">
        <f>INDEX(PT_DIFFERENTIATION_NTAR,MATCH(B230,PT_DIFFERENTIATION_NTAR_ID,0))</f>
        <v/>
      </c>
      <c r="H230" s="2203"/>
      <c r="I230" s="2080"/>
      <c r="J230" s="2114"/>
      <c r="K230" s="2119"/>
      <c r="L230" s="2203" t="s">
        <v>420</v>
      </c>
      <c r="M230" s="682"/>
      <c r="N230" s="675"/>
      <c r="O230" s="1965"/>
      <c r="P230" s="1965"/>
      <c r="AH230" s="1972">
        <v>0</v>
      </c>
    </row>
    <row s="21605" customFormat="1" customHeight="1" ht="18.75" hidden="1">
      <c r="A231" s="2121"/>
      <c r="B231" s="2121"/>
      <c r="C231" s="710" t="s">
        <v>1257</v>
      </c>
      <c r="D231" s="2803"/>
      <c r="E231" s="2545"/>
      <c r="F231" s="2724"/>
      <c r="G231" s="2768"/>
      <c r="H231" s="1841"/>
      <c r="I231" s="992" t="s">
        <v>1256</v>
      </c>
      <c r="J231" s="912"/>
      <c r="K231" s="1841"/>
      <c r="L231" s="555"/>
      <c r="M231" s="682"/>
      <c r="N231" s="675"/>
      <c r="O231" s="1965"/>
      <c r="P231" s="1965"/>
      <c r="AH231" s="1972">
        <v>0</v>
      </c>
    </row>
    <row s="21605" customFormat="1" customHeight="1" ht="0.75" hidden="1">
      <c r="A232" s="2121"/>
      <c r="B232" s="2121"/>
      <c r="C232" s="710" t="s">
        <v>1266</v>
      </c>
      <c r="D232" s="2803"/>
      <c r="E232" s="2545"/>
      <c r="F232" s="2724"/>
      <c r="G232" s="741"/>
      <c r="H232" s="1841"/>
      <c r="I232" s="992"/>
      <c r="J232" s="912"/>
      <c r="K232" s="1841"/>
      <c r="L232" s="555"/>
      <c r="M232" s="682"/>
      <c r="N232" s="675"/>
      <c r="O232" s="1965"/>
      <c r="P232" s="1965"/>
      <c r="AH232" s="1972">
        <v>0</v>
      </c>
    </row>
    <row s="21605" customFormat="1" customHeight="1" ht="18.75" hidden="1">
      <c r="A233" s="2121" t="s">
        <v>217</v>
      </c>
      <c r="B233" s="2121" t="s">
        <v>218</v>
      </c>
      <c r="C233" s="710"/>
      <c r="D233" s="2803"/>
      <c r="E233" s="2545"/>
      <c r="F233" s="2724" t="str">
        <f>INDEX(PT_DIFFERENTIATION_VTAR,MATCH(A233,PT_DIFFERENTIATION_VTAR_ID,0))</f>
        <v>Тарифы на услуги по передаче тепловой энергии</v>
      </c>
      <c r="G233" s="2768" t="str">
        <f>INDEX(PT_DIFFERENTIATION_NTAR,MATCH(B233,PT_DIFFERENTIATION_NTAR_ID,0))</f>
        <v/>
      </c>
      <c r="H233" s="2203"/>
      <c r="I233" s="2080"/>
      <c r="J233" s="2114"/>
      <c r="K233" s="2119"/>
      <c r="L233" s="2203" t="s">
        <v>420</v>
      </c>
      <c r="M233" s="682"/>
      <c r="N233" s="675"/>
      <c r="O233" s="1965"/>
      <c r="P233" s="1965"/>
      <c r="AH233" s="1972">
        <v>0</v>
      </c>
    </row>
    <row s="21605" customFormat="1" customHeight="1" ht="18.75" hidden="1">
      <c r="A234" s="2121"/>
      <c r="B234" s="2121"/>
      <c r="C234" s="710" t="s">
        <v>1257</v>
      </c>
      <c r="D234" s="2803"/>
      <c r="E234" s="2545"/>
      <c r="F234" s="2724"/>
      <c r="G234" s="2768"/>
      <c r="H234" s="1841"/>
      <c r="I234" s="992" t="s">
        <v>1256</v>
      </c>
      <c r="J234" s="912"/>
      <c r="K234" s="1841"/>
      <c r="L234" s="555"/>
      <c r="M234" s="682"/>
      <c r="N234" s="675"/>
      <c r="O234" s="1965"/>
      <c r="P234" s="1965"/>
      <c r="AH234" s="1972">
        <v>0</v>
      </c>
    </row>
    <row s="21605" customFormat="1" customHeight="1" ht="0.75" hidden="1">
      <c r="A235" s="2121"/>
      <c r="B235" s="2121"/>
      <c r="C235" s="710" t="s">
        <v>1266</v>
      </c>
      <c r="D235" s="2803"/>
      <c r="E235" s="2545"/>
      <c r="F235" s="2724"/>
      <c r="G235" s="741"/>
      <c r="H235" s="1841"/>
      <c r="I235" s="992"/>
      <c r="J235" s="912"/>
      <c r="K235" s="1841"/>
      <c r="L235" s="555"/>
      <c r="M235" s="682"/>
      <c r="N235" s="675"/>
      <c r="O235" s="1965"/>
      <c r="P235" s="1965"/>
      <c r="AH235" s="1972">
        <v>0</v>
      </c>
    </row>
    <row s="21605" customFormat="1" customHeight="1" ht="18.75" hidden="1">
      <c r="A236" s="2121" t="s">
        <v>223</v>
      </c>
      <c r="B236" s="2121" t="s">
        <v>224</v>
      </c>
      <c r="C236" s="710"/>
      <c r="D236" s="2803"/>
      <c r="E236" s="2545"/>
      <c r="F236" s="2724" t="str">
        <f>INDEX(PT_DIFFERENTIATION_VTAR,MATCH(A236,PT_DIFFERENTIATION_VTAR_ID,0))</f>
        <v>Тарифы на услуги по передаче теплоносителя</v>
      </c>
      <c r="G236" s="2768" t="str">
        <f>INDEX(PT_DIFFERENTIATION_NTAR,MATCH(B236,PT_DIFFERENTIATION_NTAR_ID,0))</f>
        <v/>
      </c>
      <c r="H236" s="2203"/>
      <c r="I236" s="2080"/>
      <c r="J236" s="2114"/>
      <c r="K236" s="2119"/>
      <c r="L236" s="2203" t="s">
        <v>420</v>
      </c>
      <c r="M236" s="682"/>
      <c r="N236" s="675"/>
      <c r="O236" s="1965"/>
      <c r="P236" s="1965"/>
      <c r="AH236" s="1972">
        <v>0</v>
      </c>
    </row>
    <row s="21605" customFormat="1" customHeight="1" ht="18.75" hidden="1">
      <c r="A237" s="2121"/>
      <c r="B237" s="2121"/>
      <c r="C237" s="710" t="s">
        <v>1257</v>
      </c>
      <c r="D237" s="2803"/>
      <c r="E237" s="2545"/>
      <c r="F237" s="2724"/>
      <c r="G237" s="2768"/>
      <c r="H237" s="1841"/>
      <c r="I237" s="992" t="s">
        <v>1256</v>
      </c>
      <c r="J237" s="912"/>
      <c r="K237" s="1841"/>
      <c r="L237" s="555"/>
      <c r="M237" s="682"/>
      <c r="N237" s="675"/>
      <c r="O237" s="1965"/>
      <c r="P237" s="1965"/>
      <c r="AH237" s="1972">
        <v>0</v>
      </c>
    </row>
    <row s="21605" customFormat="1" customHeight="1" ht="0.75" hidden="1">
      <c r="A238" s="2121"/>
      <c r="B238" s="2121"/>
      <c r="C238" s="710" t="s">
        <v>1266</v>
      </c>
      <c r="D238" s="2803"/>
      <c r="E238" s="2545"/>
      <c r="F238" s="2724"/>
      <c r="G238" s="741"/>
      <c r="H238" s="1841"/>
      <c r="I238" s="992"/>
      <c r="J238" s="912"/>
      <c r="K238" s="1841"/>
      <c r="L238" s="555"/>
      <c r="M238" s="682"/>
      <c r="N238" s="675"/>
      <c r="O238" s="1965"/>
      <c r="P238" s="1965"/>
      <c r="AH238" s="1972">
        <v>0</v>
      </c>
    </row>
    <row s="21605" customFormat="1" customHeight="1" ht="18.75" hidden="1">
      <c r="A239" s="2121" t="s">
        <v>229</v>
      </c>
      <c r="B239" s="2121" t="s">
        <v>230</v>
      </c>
      <c r="C239" s="710"/>
      <c r="D239" s="2803"/>
      <c r="E239" s="2545"/>
      <c r="F239" s="272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768" t="str">
        <f>INDEX(PT_DIFFERENTIATION_NTAR,MATCH(B239,PT_DIFFERENTIATION_NTAR_ID,0))</f>
        <v/>
      </c>
      <c r="H239" s="2203"/>
      <c r="I239" s="2080"/>
      <c r="J239" s="2114"/>
      <c r="K239" s="2119"/>
      <c r="L239" s="2203" t="s">
        <v>420</v>
      </c>
      <c r="M239" s="682"/>
      <c r="N239" s="675"/>
      <c r="O239" s="1965"/>
      <c r="P239" s="1965"/>
      <c r="AH239" s="1972">
        <v>0</v>
      </c>
    </row>
    <row s="21605" customFormat="1" customHeight="1" ht="18.75" hidden="1">
      <c r="A240" s="2121"/>
      <c r="B240" s="2121"/>
      <c r="C240" s="710" t="s">
        <v>1257</v>
      </c>
      <c r="D240" s="2803"/>
      <c r="E240" s="2545"/>
      <c r="F240" s="2724"/>
      <c r="G240" s="2768"/>
      <c r="H240" s="1841"/>
      <c r="I240" s="992" t="s">
        <v>1256</v>
      </c>
      <c r="J240" s="912"/>
      <c r="K240" s="1841"/>
      <c r="L240" s="555"/>
      <c r="M240" s="682"/>
      <c r="N240" s="675"/>
      <c r="O240" s="1965"/>
      <c r="P240" s="1965"/>
      <c r="AH240" s="1972">
        <v>0</v>
      </c>
    </row>
    <row s="21605" customFormat="1" customHeight="1" ht="0.75" hidden="1">
      <c r="A241" s="2121"/>
      <c r="B241" s="2121"/>
      <c r="C241" s="710" t="s">
        <v>1266</v>
      </c>
      <c r="D241" s="2803"/>
      <c r="E241" s="2545"/>
      <c r="F241" s="2724"/>
      <c r="G241" s="741"/>
      <c r="H241" s="1841"/>
      <c r="I241" s="992"/>
      <c r="J241" s="912"/>
      <c r="K241" s="1841"/>
      <c r="L241" s="555"/>
      <c r="M241" s="682"/>
      <c r="N241" s="675"/>
      <c r="O241" s="1965"/>
      <c r="P241" s="1965"/>
      <c r="AH241" s="1972">
        <v>0</v>
      </c>
    </row>
    <row s="21605" customFormat="1" customHeight="1" ht="18.75" hidden="1">
      <c r="A242" s="2121" t="s">
        <v>235</v>
      </c>
      <c r="B242" s="2121" t="s">
        <v>236</v>
      </c>
      <c r="C242" s="710"/>
      <c r="D242" s="2803"/>
      <c r="E242" s="2545"/>
      <c r="F242" s="2724" t="str">
        <f>INDEX(PT_DIFFERENTIATION_VTAR,MATCH(A242,PT_DIFFERENTIATION_VTAR_ID,0))</f>
        <v>Плата за подключение (технологическое присоединение) к системе теплоснабжения</v>
      </c>
      <c r="G242" s="2768" t="str">
        <f>INDEX(PT_DIFFERENTIATION_NTAR,MATCH(B242,PT_DIFFERENTIATION_NTAR_ID,0))</f>
        <v/>
      </c>
      <c r="H242" s="2203"/>
      <c r="I242" s="2080"/>
      <c r="J242" s="2114"/>
      <c r="K242" s="2119"/>
      <c r="L242" s="2203" t="s">
        <v>420</v>
      </c>
      <c r="M242" s="682"/>
      <c r="N242" s="675"/>
      <c r="O242" s="1965"/>
      <c r="P242" s="1965"/>
      <c r="AH242" s="1972">
        <v>0</v>
      </c>
    </row>
    <row s="21605" customFormat="1" customHeight="1" ht="18.75" hidden="1">
      <c r="A243" s="2121"/>
      <c r="B243" s="2121"/>
      <c r="C243" s="710" t="s">
        <v>1257</v>
      </c>
      <c r="D243" s="2803"/>
      <c r="E243" s="2545"/>
      <c r="F243" s="2724"/>
      <c r="G243" s="2768"/>
      <c r="H243" s="1841"/>
      <c r="I243" s="992" t="s">
        <v>1256</v>
      </c>
      <c r="J243" s="912"/>
      <c r="K243" s="1841"/>
      <c r="L243" s="555"/>
      <c r="M243" s="682"/>
      <c r="N243" s="675"/>
      <c r="O243" s="1965"/>
      <c r="P243" s="1965"/>
      <c r="AH243" s="1972">
        <v>0</v>
      </c>
    </row>
    <row s="21605" customFormat="1" customHeight="1" ht="0.75" hidden="1">
      <c r="A244" s="2121"/>
      <c r="B244" s="2121"/>
      <c r="C244" s="710" t="s">
        <v>1266</v>
      </c>
      <c r="D244" s="2803"/>
      <c r="E244" s="2545"/>
      <c r="F244" s="2724"/>
      <c r="G244" s="741"/>
      <c r="H244" s="1841"/>
      <c r="I244" s="992"/>
      <c r="J244" s="912"/>
      <c r="K244" s="1841"/>
      <c r="L244" s="555"/>
      <c r="M244" s="682"/>
      <c r="N244" s="675"/>
      <c r="O244" s="1965"/>
      <c r="P244" s="1965"/>
      <c r="AH244" s="1972">
        <v>0</v>
      </c>
    </row>
    <row s="21605" customFormat="1" customHeight="1" ht="18.75" hidden="1">
      <c r="A245" s="2121" t="s">
        <v>241</v>
      </c>
      <c r="B245" s="2121" t="s">
        <v>242</v>
      </c>
      <c r="C245" s="710"/>
      <c r="D245" s="2803"/>
      <c r="E245" s="2545"/>
      <c r="F245" s="2724" t="str">
        <f>INDEX(PT_DIFFERENTIATION_VTAR,MATCH(A245,PT_DIFFERENTIATION_VTAR_ID,0))</f>
        <v>Плата за подключение (технологическое присоединение) к системе теплоснабжения (индивидуальная)</v>
      </c>
      <c r="G245" s="2768" t="str">
        <f>INDEX(PT_DIFFERENTIATION_NTAR,MATCH(B245,PT_DIFFERENTIATION_NTAR_ID,0))</f>
        <v/>
      </c>
      <c r="H245" s="2330"/>
      <c r="I245" s="2080"/>
      <c r="J245" s="2114"/>
      <c r="K245" s="2119"/>
      <c r="L245" s="2330" t="s">
        <v>420</v>
      </c>
      <c r="M245" s="682"/>
      <c r="N245" s="675"/>
      <c r="O245" s="1965"/>
      <c r="P245" s="1965"/>
      <c r="AH245" s="1972">
        <v>0</v>
      </c>
    </row>
    <row s="21605" customFormat="1" customHeight="1" ht="18.75" hidden="1">
      <c r="A246" s="2121"/>
      <c r="B246" s="2121"/>
      <c r="C246" s="710" t="s">
        <v>1257</v>
      </c>
      <c r="D246" s="2803"/>
      <c r="E246" s="2545"/>
      <c r="F246" s="2724"/>
      <c r="G246" s="2768"/>
      <c r="H246" s="1841"/>
      <c r="I246" s="992" t="s">
        <v>1256</v>
      </c>
      <c r="J246" s="912"/>
      <c r="K246" s="1841"/>
      <c r="L246" s="555"/>
      <c r="M246" s="682"/>
      <c r="N246" s="675"/>
      <c r="O246" s="1965"/>
      <c r="P246" s="1965"/>
      <c r="AH246" s="1972">
        <v>0</v>
      </c>
    </row>
    <row s="21605" customFormat="1" customHeight="1" ht="0.75" hidden="1">
      <c r="A247" s="2121"/>
      <c r="B247" s="2121"/>
      <c r="C247" s="710" t="s">
        <v>1266</v>
      </c>
      <c r="D247" s="2803"/>
      <c r="E247" s="2545"/>
      <c r="F247" s="2724"/>
      <c r="G247" s="741"/>
      <c r="H247" s="1841"/>
      <c r="I247" s="992"/>
      <c r="J247" s="912"/>
      <c r="K247" s="1841"/>
      <c r="L247" s="555"/>
      <c r="M247" s="682"/>
      <c r="N247" s="675"/>
      <c r="O247" s="1965"/>
      <c r="P247" s="1965"/>
      <c r="AH247" s="1972">
        <v>0</v>
      </c>
    </row>
    <row s="21605" customFormat="1" customHeight="1" ht="18.75">
      <c r="A248" s="2121" t="s">
        <v>264</v>
      </c>
      <c r="B248" s="2121" t="s">
        <v>265</v>
      </c>
      <c r="C248" s="710"/>
      <c r="D248" s="2803"/>
      <c r="E248" s="2545"/>
      <c r="F248" s="2724" t="str">
        <f>INDEX(PT_DIFFERENTIATION_VTAR,MATCH(A248,PT_DIFFERENTIATION_VTAR_ID,0))</f>
        <v>Тариф на питьевую воду (питьевое водоснабжение)</v>
      </c>
      <c r="G248" s="2768" t="str">
        <f>INDEX(PT_DIFFERENTIATION_NTAR,MATCH(B248,PT_DIFFERENTIATION_NTAR_ID,0))</f>
        <v>Тариф на услуги водоснабжения</v>
      </c>
      <c r="H248" s="2203"/>
      <c r="I248" s="5100">
        <v>45658.61498842593</v>
      </c>
      <c r="J248" s="5101">
        <v>46387.61509259259</v>
      </c>
      <c r="K248" s="2119">
        <v>0</v>
      </c>
      <c r="L248" s="2203" t="s">
        <v>420</v>
      </c>
      <c r="M248" s="682"/>
      <c r="N248" s="675"/>
      <c r="O248" s="1965"/>
      <c r="P248" s="1965"/>
      <c r="AH248" s="1972">
        <v>0</v>
      </c>
    </row>
    <row s="21605" customFormat="1" customHeight="1" ht="18.75">
      <c r="A249" s="2121"/>
      <c r="B249" s="2121"/>
      <c r="C249" s="710" t="s">
        <v>1257</v>
      </c>
      <c r="D249" s="2803"/>
      <c r="E249" s="2545"/>
      <c r="F249" s="2724"/>
      <c r="G249" s="2768"/>
      <c r="H249" s="1841"/>
      <c r="I249" s="992" t="s">
        <v>1256</v>
      </c>
      <c r="J249" s="912"/>
      <c r="K249" s="1841"/>
      <c r="L249" s="555"/>
      <c r="M249" s="682"/>
      <c r="N249" s="675"/>
      <c r="O249" s="1965"/>
      <c r="P249" s="1965"/>
      <c r="AH249" s="1972">
        <v>0</v>
      </c>
    </row>
    <row s="21605" customFormat="1" customHeight="1" ht="0.75">
      <c r="A250" s="2121"/>
      <c r="B250" s="2121"/>
      <c r="C250" s="710" t="s">
        <v>1266</v>
      </c>
      <c r="D250" s="2803"/>
      <c r="E250" s="2545"/>
      <c r="F250" s="2724"/>
      <c r="G250" s="741"/>
      <c r="H250" s="1841"/>
      <c r="I250" s="992"/>
      <c r="J250" s="912"/>
      <c r="K250" s="1841"/>
      <c r="L250" s="555"/>
      <c r="M250" s="682"/>
      <c r="N250" s="675"/>
      <c r="O250" s="1965"/>
      <c r="P250" s="1965"/>
      <c r="AH250" s="1972">
        <v>0</v>
      </c>
    </row>
    <row s="21605" customFormat="1" customHeight="1" ht="18.75">
      <c r="A251" s="2121" t="s">
        <v>344</v>
      </c>
      <c r="B251" s="2121" t="s">
        <v>345</v>
      </c>
      <c r="C251" s="710"/>
      <c r="D251" s="2803"/>
      <c r="E251" s="2545"/>
      <c r="F251" s="2724" t="str">
        <f>INDEX(PT_DIFFERENTIATION_VTAR,MATCH(A251,PT_DIFFERENTIATION_VTAR_ID,0))</f>
        <v>Тариф на техническую воду</v>
      </c>
      <c r="G251" s="2768" t="str">
        <f>INDEX(PT_DIFFERENTIATION_NTAR,MATCH(B251,PT_DIFFERENTIATION_NTAR_ID,0))</f>
        <v/>
      </c>
      <c r="H251" s="2203"/>
      <c r="I251" s="20803">
        <v>45658.6643287037</v>
      </c>
      <c r="J251" s="20802">
        <v>47118.66443287037</v>
      </c>
      <c r="K251" s="2119">
        <v>0</v>
      </c>
      <c r="L251" s="2203" t="s">
        <v>420</v>
      </c>
      <c r="M251" s="682"/>
      <c r="N251" s="675"/>
      <c r="O251" s="1965"/>
      <c r="P251" s="1965"/>
      <c r="AH251" s="1972">
        <v>0</v>
      </c>
    </row>
    <row s="21605" customFormat="1" customHeight="1" ht="18.75">
      <c r="A252" s="2121"/>
      <c r="B252" s="2121"/>
      <c r="C252" s="710" t="s">
        <v>1257</v>
      </c>
      <c r="D252" s="2803"/>
      <c r="E252" s="2545"/>
      <c r="F252" s="2724"/>
      <c r="G252" s="2768"/>
      <c r="H252" s="1841"/>
      <c r="I252" s="992" t="s">
        <v>1256</v>
      </c>
      <c r="J252" s="912"/>
      <c r="K252" s="1841"/>
      <c r="L252" s="555"/>
      <c r="M252" s="682"/>
      <c r="N252" s="675"/>
      <c r="O252" s="1965"/>
      <c r="P252" s="1965"/>
      <c r="AH252" s="1972">
        <v>0</v>
      </c>
    </row>
    <row s="21605" customFormat="1" customHeight="1" ht="0.75">
      <c r="A253" s="2121"/>
      <c r="B253" s="2121"/>
      <c r="C253" s="710" t="s">
        <v>1266</v>
      </c>
      <c r="D253" s="2803"/>
      <c r="E253" s="2545"/>
      <c r="F253" s="2724"/>
      <c r="G253" s="741"/>
      <c r="H253" s="1841"/>
      <c r="I253" s="992"/>
      <c r="J253" s="912"/>
      <c r="K253" s="1841"/>
      <c r="L253" s="555"/>
      <c r="M253" s="682"/>
      <c r="N253" s="675"/>
      <c r="O253" s="1965"/>
      <c r="P253" s="1965"/>
      <c r="AH253" s="1972">
        <v>0</v>
      </c>
    </row>
    <row s="21605" customFormat="1" customHeight="1" ht="18.75" hidden="1">
      <c r="A254" s="2121" t="s">
        <v>349</v>
      </c>
      <c r="B254" s="2121" t="s">
        <v>350</v>
      </c>
      <c r="C254" s="710"/>
      <c r="D254" s="2803"/>
      <c r="E254" s="2545"/>
      <c r="F254" s="2724" t="str">
        <f>INDEX(PT_DIFFERENTIATION_VTAR,MATCH(A254,PT_DIFFERENTIATION_VTAR_ID,0))</f>
        <v>Тариф на транспортировку воды</v>
      </c>
      <c r="G254" s="2768" t="str">
        <f>INDEX(PT_DIFFERENTIATION_NTAR,MATCH(B254,PT_DIFFERENTIATION_NTAR_ID,0))</f>
        <v/>
      </c>
      <c r="H254" s="2203"/>
      <c r="I254" s="2080"/>
      <c r="J254" s="2114"/>
      <c r="K254" s="2119"/>
      <c r="L254" s="2203" t="s">
        <v>420</v>
      </c>
      <c r="M254" s="682"/>
      <c r="N254" s="675"/>
      <c r="O254" s="1965"/>
      <c r="P254" s="1965"/>
      <c r="AH254" s="1972">
        <v>0</v>
      </c>
    </row>
    <row s="21605" customFormat="1" customHeight="1" ht="18.75" hidden="1">
      <c r="A255" s="2121"/>
      <c r="B255" s="2121"/>
      <c r="C255" s="710" t="s">
        <v>1257</v>
      </c>
      <c r="D255" s="2803"/>
      <c r="E255" s="2545"/>
      <c r="F255" s="2724"/>
      <c r="G255" s="2768"/>
      <c r="H255" s="1841"/>
      <c r="I255" s="992" t="s">
        <v>1256</v>
      </c>
      <c r="J255" s="912"/>
      <c r="K255" s="1841"/>
      <c r="L255" s="555"/>
      <c r="M255" s="682"/>
      <c r="N255" s="675"/>
      <c r="O255" s="1965"/>
      <c r="P255" s="1965"/>
      <c r="AH255" s="1972">
        <v>0</v>
      </c>
    </row>
    <row s="21605" customFormat="1" customHeight="1" ht="0.75" hidden="1">
      <c r="A256" s="2121"/>
      <c r="B256" s="2121"/>
      <c r="C256" s="710" t="s">
        <v>1266</v>
      </c>
      <c r="D256" s="2803"/>
      <c r="E256" s="2545"/>
      <c r="F256" s="2724"/>
      <c r="G256" s="741"/>
      <c r="H256" s="1841"/>
      <c r="I256" s="992"/>
      <c r="J256" s="912"/>
      <c r="K256" s="1841"/>
      <c r="L256" s="555"/>
      <c r="M256" s="682"/>
      <c r="N256" s="675"/>
      <c r="O256" s="1965"/>
      <c r="P256" s="1965"/>
      <c r="AH256" s="1972">
        <v>0</v>
      </c>
    </row>
    <row s="21605" customFormat="1" customHeight="1" ht="18.75" hidden="1">
      <c r="A257" s="2121" t="s">
        <v>354</v>
      </c>
      <c r="B257" s="2121" t="s">
        <v>355</v>
      </c>
      <c r="C257" s="710"/>
      <c r="D257" s="2803"/>
      <c r="E257" s="2545"/>
      <c r="F257" s="2724" t="str">
        <f>INDEX(PT_DIFFERENTIATION_VTAR,MATCH(A257,PT_DIFFERENTIATION_VTAR_ID,0))</f>
        <v>Тариф на подвоз воды</v>
      </c>
      <c r="G257" s="2768" t="str">
        <f>INDEX(PT_DIFFERENTIATION_NTAR,MATCH(B257,PT_DIFFERENTIATION_NTAR_ID,0))</f>
        <v/>
      </c>
      <c r="H257" s="2203"/>
      <c r="I257" s="2080"/>
      <c r="J257" s="2114"/>
      <c r="K257" s="2119"/>
      <c r="L257" s="2203" t="s">
        <v>420</v>
      </c>
      <c r="M257" s="682"/>
      <c r="N257" s="675"/>
      <c r="O257" s="1965"/>
      <c r="P257" s="1965"/>
      <c r="AH257" s="1972">
        <v>0</v>
      </c>
    </row>
    <row s="21605" customFormat="1" customHeight="1" ht="18.75" hidden="1">
      <c r="A258" s="2121"/>
      <c r="B258" s="2121"/>
      <c r="C258" s="710" t="s">
        <v>1257</v>
      </c>
      <c r="D258" s="2803"/>
      <c r="E258" s="2545"/>
      <c r="F258" s="2724"/>
      <c r="G258" s="2768"/>
      <c r="H258" s="1841"/>
      <c r="I258" s="992" t="s">
        <v>1256</v>
      </c>
      <c r="J258" s="912"/>
      <c r="K258" s="1841"/>
      <c r="L258" s="555"/>
      <c r="M258" s="682"/>
      <c r="N258" s="675"/>
      <c r="O258" s="1965"/>
      <c r="P258" s="1965"/>
      <c r="AH258" s="1972">
        <v>0</v>
      </c>
    </row>
    <row s="21605" customFormat="1" customHeight="1" ht="0.75" hidden="1">
      <c r="A259" s="2121"/>
      <c r="B259" s="2121"/>
      <c r="C259" s="710" t="s">
        <v>1266</v>
      </c>
      <c r="D259" s="2803"/>
      <c r="E259" s="2545"/>
      <c r="F259" s="2724"/>
      <c r="G259" s="741"/>
      <c r="H259" s="1841"/>
      <c r="I259" s="992"/>
      <c r="J259" s="912"/>
      <c r="K259" s="1841"/>
      <c r="L259" s="555"/>
      <c r="M259" s="682"/>
      <c r="N259" s="675"/>
      <c r="O259" s="1965"/>
      <c r="P259" s="1965"/>
      <c r="AH259" s="1972">
        <v>0</v>
      </c>
    </row>
    <row s="21605" customFormat="1" customHeight="1" ht="18.75" hidden="1">
      <c r="A260" s="2121" t="s">
        <v>359</v>
      </c>
      <c r="B260" s="2121" t="s">
        <v>360</v>
      </c>
      <c r="C260" s="710"/>
      <c r="D260" s="2803"/>
      <c r="E260" s="2545"/>
      <c r="F260" s="272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768" t="str">
        <f>INDEX(PT_DIFFERENTIATION_NTAR,MATCH(B260,PT_DIFFERENTIATION_NTAR_ID,0))</f>
        <v/>
      </c>
      <c r="H260" s="2203"/>
      <c r="I260" s="2080"/>
      <c r="J260" s="2114"/>
      <c r="K260" s="2119"/>
      <c r="L260" s="2203" t="s">
        <v>420</v>
      </c>
      <c r="M260" s="682"/>
      <c r="N260" s="675"/>
      <c r="O260" s="1965"/>
      <c r="P260" s="1965"/>
      <c r="AH260" s="1972">
        <v>0</v>
      </c>
    </row>
    <row s="21605" customFormat="1" customHeight="1" ht="18.75" hidden="1">
      <c r="A261" s="2121"/>
      <c r="B261" s="2121"/>
      <c r="C261" s="710" t="s">
        <v>1257</v>
      </c>
      <c r="D261" s="2803"/>
      <c r="E261" s="2545"/>
      <c r="F261" s="2724"/>
      <c r="G261" s="2768"/>
      <c r="H261" s="1841"/>
      <c r="I261" s="992" t="s">
        <v>1256</v>
      </c>
      <c r="J261" s="912"/>
      <c r="K261" s="1841"/>
      <c r="L261" s="555"/>
      <c r="M261" s="682"/>
      <c r="N261" s="675"/>
      <c r="O261" s="1965"/>
      <c r="P261" s="1965"/>
      <c r="AH261" s="1972">
        <v>0</v>
      </c>
    </row>
    <row s="21605" customFormat="1" customHeight="1" ht="0.75" hidden="1">
      <c r="A262" s="2121"/>
      <c r="B262" s="2121"/>
      <c r="C262" s="710" t="s">
        <v>1266</v>
      </c>
      <c r="D262" s="2803"/>
      <c r="E262" s="2545"/>
      <c r="F262" s="2724"/>
      <c r="G262" s="741"/>
      <c r="H262" s="1841"/>
      <c r="I262" s="992"/>
      <c r="J262" s="912"/>
      <c r="K262" s="1841"/>
      <c r="L262" s="555"/>
      <c r="M262" s="682"/>
      <c r="N262" s="675"/>
      <c r="O262" s="1965"/>
      <c r="P262" s="1965"/>
      <c r="AH262" s="1972">
        <v>0</v>
      </c>
    </row>
    <row s="21605" customFormat="1" customHeight="1" ht="18.75" hidden="1">
      <c r="A263" s="2121" t="s">
        <v>364</v>
      </c>
      <c r="B263" s="2121" t="s">
        <v>365</v>
      </c>
      <c r="C263" s="710"/>
      <c r="D263" s="2803"/>
      <c r="E263" s="2545"/>
      <c r="F263" s="2724" t="str">
        <f>INDEX(PT_DIFFERENTIATION_VTAR,MATCH(A263,PT_DIFFERENTIATION_VTAR_ID,0))</f>
        <v>Тариф на горячую воду (горячее водоснабжение)</v>
      </c>
      <c r="G263" s="2768" t="str">
        <f>INDEX(PT_DIFFERENTIATION_NTAR,MATCH(B263,PT_DIFFERENTIATION_NTAR_ID,0))</f>
        <v/>
      </c>
      <c r="H263" s="2203"/>
      <c r="I263" s="2080"/>
      <c r="J263" s="2114"/>
      <c r="K263" s="2119"/>
      <c r="L263" s="2203" t="s">
        <v>420</v>
      </c>
      <c r="M263" s="682"/>
      <c r="N263" s="675"/>
      <c r="O263" s="1965"/>
      <c r="P263" s="1965"/>
      <c r="AH263" s="1972">
        <v>0</v>
      </c>
    </row>
    <row s="21605" customFormat="1" customHeight="1" ht="18.75" hidden="1">
      <c r="A264" s="2121"/>
      <c r="B264" s="2121"/>
      <c r="C264" s="710" t="s">
        <v>1257</v>
      </c>
      <c r="D264" s="2803"/>
      <c r="E264" s="2545"/>
      <c r="F264" s="2724"/>
      <c r="G264" s="2768"/>
      <c r="H264" s="1841"/>
      <c r="I264" s="992" t="s">
        <v>1256</v>
      </c>
      <c r="J264" s="912"/>
      <c r="K264" s="1841"/>
      <c r="L264" s="555"/>
      <c r="M264" s="682"/>
      <c r="N264" s="675"/>
      <c r="O264" s="1965"/>
      <c r="P264" s="1965"/>
      <c r="AH264" s="1972">
        <v>0</v>
      </c>
    </row>
    <row s="21605" customFormat="1" customHeight="1" ht="0.75" hidden="1">
      <c r="A265" s="2121"/>
      <c r="B265" s="2121"/>
      <c r="C265" s="710" t="s">
        <v>1266</v>
      </c>
      <c r="D265" s="2803"/>
      <c r="E265" s="2545"/>
      <c r="F265" s="2724"/>
      <c r="G265" s="741"/>
      <c r="H265" s="1841"/>
      <c r="I265" s="992"/>
      <c r="J265" s="912"/>
      <c r="K265" s="1841"/>
      <c r="L265" s="555"/>
      <c r="M265" s="682"/>
      <c r="N265" s="675"/>
      <c r="O265" s="1965"/>
      <c r="P265" s="1965"/>
      <c r="AH265" s="1972">
        <v>0</v>
      </c>
    </row>
    <row s="21605" customFormat="1" customHeight="1" ht="18.75" hidden="1">
      <c r="A266" s="2121" t="s">
        <v>369</v>
      </c>
      <c r="B266" s="2121" t="s">
        <v>370</v>
      </c>
      <c r="C266" s="710"/>
      <c r="D266" s="2803"/>
      <c r="E266" s="2545"/>
      <c r="F266" s="2724" t="str">
        <f>INDEX(PT_DIFFERENTIATION_VTAR,MATCH(A266,PT_DIFFERENTIATION_VTAR_ID,0))</f>
        <v>Тариф на транспортировку горячей воды</v>
      </c>
      <c r="G266" s="2768" t="str">
        <f>INDEX(PT_DIFFERENTIATION_NTAR,MATCH(B266,PT_DIFFERENTIATION_NTAR_ID,0))</f>
        <v/>
      </c>
      <c r="H266" s="2203"/>
      <c r="I266" s="2080"/>
      <c r="J266" s="2114"/>
      <c r="K266" s="2119"/>
      <c r="L266" s="2203" t="s">
        <v>420</v>
      </c>
      <c r="M266" s="682"/>
      <c r="N266" s="675"/>
      <c r="O266" s="1965"/>
      <c r="P266" s="1965"/>
      <c r="AH266" s="1972">
        <v>0</v>
      </c>
    </row>
    <row s="21605" customFormat="1" customHeight="1" ht="18.75" hidden="1">
      <c r="A267" s="2121"/>
      <c r="B267" s="2121"/>
      <c r="C267" s="710" t="s">
        <v>1257</v>
      </c>
      <c r="D267" s="2803"/>
      <c r="E267" s="2545"/>
      <c r="F267" s="2724"/>
      <c r="G267" s="2768"/>
      <c r="H267" s="1841"/>
      <c r="I267" s="992" t="s">
        <v>1256</v>
      </c>
      <c r="J267" s="912"/>
      <c r="K267" s="1841"/>
      <c r="L267" s="555"/>
      <c r="M267" s="682"/>
      <c r="N267" s="675"/>
      <c r="O267" s="1965"/>
      <c r="P267" s="1965"/>
      <c r="AH267" s="1972">
        <v>0</v>
      </c>
    </row>
    <row s="21605" customFormat="1" customHeight="1" ht="0.75" hidden="1">
      <c r="A268" s="2121"/>
      <c r="B268" s="2121"/>
      <c r="C268" s="710" t="s">
        <v>1266</v>
      </c>
      <c r="D268" s="2803"/>
      <c r="E268" s="2545"/>
      <c r="F268" s="2724"/>
      <c r="G268" s="741"/>
      <c r="H268" s="1841"/>
      <c r="I268" s="992"/>
      <c r="J268" s="912"/>
      <c r="K268" s="1841"/>
      <c r="L268" s="555"/>
      <c r="M268" s="682"/>
      <c r="N268" s="675"/>
      <c r="O268" s="1965"/>
      <c r="P268" s="1965"/>
      <c r="AH268" s="1972">
        <v>0</v>
      </c>
    </row>
    <row s="21605" customFormat="1" customHeight="1" ht="18.75" hidden="1">
      <c r="A269" s="2121" t="s">
        <v>374</v>
      </c>
      <c r="B269" s="2121" t="s">
        <v>375</v>
      </c>
      <c r="C269" s="710"/>
      <c r="D269" s="2803"/>
      <c r="E269" s="2545"/>
      <c r="F269" s="2724" t="str">
        <f>INDEX(PT_DIFFERENTIATION_VTAR,MATCH(A269,PT_DIFFERENTIATION_VTAR_ID,0))</f>
        <v>Тариф на подключение (технологическое присоединение) к централизованной системе горячего водоснабжения</v>
      </c>
      <c r="G269" s="2768" t="str">
        <f>INDEX(PT_DIFFERENTIATION_NTAR,MATCH(B269,PT_DIFFERENTIATION_NTAR_ID,0))</f>
        <v/>
      </c>
      <c r="H269" s="2203"/>
      <c r="I269" s="2080"/>
      <c r="J269" s="2114"/>
      <c r="K269" s="2119"/>
      <c r="L269" s="2203" t="s">
        <v>420</v>
      </c>
      <c r="M269" s="682"/>
      <c r="N269" s="675"/>
      <c r="O269" s="1965"/>
      <c r="P269" s="1965"/>
      <c r="AH269" s="1972">
        <v>0</v>
      </c>
    </row>
    <row s="21605" customFormat="1" customHeight="1" ht="18.75" hidden="1">
      <c r="A270" s="2121"/>
      <c r="B270" s="2121"/>
      <c r="C270" s="710" t="s">
        <v>1257</v>
      </c>
      <c r="D270" s="2803"/>
      <c r="E270" s="2545"/>
      <c r="F270" s="2724"/>
      <c r="G270" s="2768"/>
      <c r="H270" s="1841"/>
      <c r="I270" s="992" t="s">
        <v>1256</v>
      </c>
      <c r="J270" s="912"/>
      <c r="K270" s="1841"/>
      <c r="L270" s="555"/>
      <c r="M270" s="682"/>
      <c r="N270" s="675"/>
      <c r="O270" s="1965"/>
      <c r="P270" s="1965"/>
      <c r="AH270" s="1972">
        <v>0</v>
      </c>
    </row>
    <row s="21605" customFormat="1" customHeight="1" ht="0.75" hidden="1">
      <c r="A271" s="2121"/>
      <c r="B271" s="2121"/>
      <c r="C271" s="710" t="s">
        <v>1266</v>
      </c>
      <c r="D271" s="2803"/>
      <c r="E271" s="2545"/>
      <c r="F271" s="2724"/>
      <c r="G271" s="741"/>
      <c r="H271" s="1841"/>
      <c r="I271" s="992"/>
      <c r="J271" s="912"/>
      <c r="K271" s="1841"/>
      <c r="L271" s="555"/>
      <c r="M271" s="682"/>
      <c r="N271" s="675"/>
      <c r="O271" s="1965"/>
      <c r="P271" s="1965"/>
      <c r="AH271" s="1972">
        <v>0</v>
      </c>
    </row>
    <row s="21605" customFormat="1" customHeight="1" ht="18.75" hidden="1">
      <c r="A272" s="2121" t="s">
        <v>379</v>
      </c>
      <c r="B272" s="2121" t="s">
        <v>380</v>
      </c>
      <c r="C272" s="710"/>
      <c r="D272" s="2803"/>
      <c r="E272" s="2545"/>
      <c r="F272" s="2724" t="str">
        <f>INDEX(PT_DIFFERENTIATION_VTAR,MATCH(A272,PT_DIFFERENTIATION_VTAR_ID,0))</f>
        <v>Тариф на водоотведение</v>
      </c>
      <c r="G272" s="2768" t="str">
        <f>INDEX(PT_DIFFERENTIATION_NTAR,MATCH(B272,PT_DIFFERENTIATION_NTAR_ID,0))</f>
        <v/>
      </c>
      <c r="H272" s="2203"/>
      <c r="I272" s="2080"/>
      <c r="J272" s="2114"/>
      <c r="K272" s="2119"/>
      <c r="L272" s="2203" t="s">
        <v>420</v>
      </c>
      <c r="M272" s="682"/>
      <c r="N272" s="675"/>
      <c r="O272" s="1965"/>
      <c r="P272" s="1965"/>
      <c r="AH272" s="1972">
        <v>0</v>
      </c>
    </row>
    <row s="21605" customFormat="1" customHeight="1" ht="18.75" hidden="1">
      <c r="A273" s="2121"/>
      <c r="B273" s="2121"/>
      <c r="C273" s="710" t="s">
        <v>1257</v>
      </c>
      <c r="D273" s="2803"/>
      <c r="E273" s="2545"/>
      <c r="F273" s="2724"/>
      <c r="G273" s="2768"/>
      <c r="H273" s="1841"/>
      <c r="I273" s="992" t="s">
        <v>1256</v>
      </c>
      <c r="J273" s="912"/>
      <c r="K273" s="1841"/>
      <c r="L273" s="555"/>
      <c r="M273" s="682"/>
      <c r="N273" s="675"/>
      <c r="O273" s="1965"/>
      <c r="P273" s="1965"/>
      <c r="AH273" s="1972">
        <v>0</v>
      </c>
    </row>
    <row s="21605" customFormat="1" customHeight="1" ht="0.75" hidden="1">
      <c r="A274" s="2121"/>
      <c r="B274" s="2121"/>
      <c r="C274" s="710" t="s">
        <v>1266</v>
      </c>
      <c r="D274" s="2803"/>
      <c r="E274" s="2545"/>
      <c r="F274" s="2724"/>
      <c r="G274" s="741"/>
      <c r="H274" s="1841"/>
      <c r="I274" s="992"/>
      <c r="J274" s="912"/>
      <c r="K274" s="1841"/>
      <c r="L274" s="555"/>
      <c r="M274" s="682"/>
      <c r="N274" s="675"/>
      <c r="O274" s="1965"/>
      <c r="P274" s="1965"/>
      <c r="AH274" s="1972">
        <v>0</v>
      </c>
    </row>
    <row s="21605" customFormat="1" customHeight="1" ht="18.75" hidden="1">
      <c r="A275" s="2121" t="s">
        <v>384</v>
      </c>
      <c r="B275" s="2121" t="s">
        <v>385</v>
      </c>
      <c r="C275" s="710"/>
      <c r="D275" s="2803"/>
      <c r="E275" s="2545"/>
      <c r="F275" s="2724" t="str">
        <f>INDEX(PT_DIFFERENTIATION_VTAR,MATCH(A275,PT_DIFFERENTIATION_VTAR_ID,0))</f>
        <v>Тариф на транспортировку сточных вод</v>
      </c>
      <c r="G275" s="2768" t="str">
        <f>INDEX(PT_DIFFERENTIATION_NTAR,MATCH(B275,PT_DIFFERENTIATION_NTAR_ID,0))</f>
        <v/>
      </c>
      <c r="H275" s="2203"/>
      <c r="I275" s="2080"/>
      <c r="J275" s="2114"/>
      <c r="K275" s="2119"/>
      <c r="L275" s="2203" t="s">
        <v>420</v>
      </c>
      <c r="M275" s="682"/>
      <c r="N275" s="675"/>
      <c r="O275" s="1965"/>
      <c r="P275" s="1965"/>
      <c r="AH275" s="1972">
        <v>0</v>
      </c>
    </row>
    <row s="21605" customFormat="1" customHeight="1" ht="18.75" hidden="1">
      <c r="A276" s="2121"/>
      <c r="B276" s="2121"/>
      <c r="C276" s="710" t="s">
        <v>1257</v>
      </c>
      <c r="D276" s="2803"/>
      <c r="E276" s="2545"/>
      <c r="F276" s="2724"/>
      <c r="G276" s="2768"/>
      <c r="H276" s="1841"/>
      <c r="I276" s="992" t="s">
        <v>1256</v>
      </c>
      <c r="J276" s="912"/>
      <c r="K276" s="1841"/>
      <c r="L276" s="555"/>
      <c r="M276" s="682"/>
      <c r="N276" s="675"/>
      <c r="O276" s="1965"/>
      <c r="P276" s="1965"/>
      <c r="AH276" s="1972">
        <v>0</v>
      </c>
    </row>
    <row s="21605" customFormat="1" customHeight="1" ht="0.75" hidden="1">
      <c r="A277" s="2121"/>
      <c r="B277" s="2121"/>
      <c r="C277" s="710" t="s">
        <v>1266</v>
      </c>
      <c r="D277" s="2803"/>
      <c r="E277" s="2545"/>
      <c r="F277" s="2724"/>
      <c r="G277" s="741"/>
      <c r="H277" s="1841"/>
      <c r="I277" s="992"/>
      <c r="J277" s="912"/>
      <c r="K277" s="1841"/>
      <c r="L277" s="555"/>
      <c r="M277" s="682"/>
      <c r="N277" s="675"/>
      <c r="O277" s="1965"/>
      <c r="P277" s="1965"/>
      <c r="AH277" s="1972">
        <v>0</v>
      </c>
    </row>
    <row s="21605" customFormat="1" customHeight="1" ht="18.75" hidden="1">
      <c r="A278" s="2121" t="s">
        <v>389</v>
      </c>
      <c r="B278" s="2121" t="s">
        <v>390</v>
      </c>
      <c r="C278" s="710"/>
      <c r="D278" s="2803"/>
      <c r="E278" s="2545"/>
      <c r="F278" s="2724" t="str">
        <f>INDEX(PT_DIFFERENTIATION_VTAR,MATCH(A278,PT_DIFFERENTIATION_VTAR_ID,0))</f>
        <v>Тариф на подключение (технологическое присоединение) к централизованной системе водоотведения</v>
      </c>
      <c r="G278" s="2768" t="str">
        <f>INDEX(PT_DIFFERENTIATION_NTAR,MATCH(B278,PT_DIFFERENTIATION_NTAR_ID,0))</f>
        <v/>
      </c>
      <c r="H278" s="2203"/>
      <c r="I278" s="2080"/>
      <c r="J278" s="2114"/>
      <c r="K278" s="2119"/>
      <c r="L278" s="2203" t="s">
        <v>420</v>
      </c>
      <c r="M278" s="682"/>
      <c r="N278" s="675"/>
      <c r="O278" s="1965"/>
      <c r="P278" s="1965"/>
      <c r="AH278" s="1972">
        <v>0</v>
      </c>
    </row>
    <row s="21605" customFormat="1" customHeight="1" ht="18.75" hidden="1">
      <c r="A279" s="2121"/>
      <c r="B279" s="2121"/>
      <c r="C279" s="710" t="s">
        <v>1257</v>
      </c>
      <c r="D279" s="2803"/>
      <c r="E279" s="2545"/>
      <c r="F279" s="2724"/>
      <c r="G279" s="2768"/>
      <c r="H279" s="1841"/>
      <c r="I279" s="992" t="s">
        <v>1256</v>
      </c>
      <c r="J279" s="912"/>
      <c r="K279" s="1841"/>
      <c r="L279" s="555"/>
      <c r="M279" s="682"/>
      <c r="N279" s="675"/>
      <c r="O279" s="1965"/>
      <c r="P279" s="1965"/>
      <c r="AH279" s="1972">
        <v>0</v>
      </c>
    </row>
    <row s="21605" customFormat="1" customHeight="1" ht="1.05">
      <c r="A280" s="2121"/>
      <c r="B280" s="2121"/>
      <c r="C280" s="710" t="s">
        <v>1266</v>
      </c>
      <c r="D280" s="2803"/>
      <c r="E280" s="2545"/>
      <c r="F280" s="2724"/>
      <c r="G280" s="741"/>
      <c r="H280" s="1841"/>
      <c r="I280" s="992"/>
      <c r="J280" s="912"/>
      <c r="K280" s="1841"/>
      <c r="L280" s="555"/>
      <c r="M280" s="682"/>
      <c r="N280" s="675"/>
      <c r="O280" s="1965"/>
      <c r="P280" s="1965"/>
      <c r="AH280" s="1972">
        <v>1</v>
      </c>
    </row>
    <row customHeight="1" ht="27.299999999999997">
      <c r="A281" s="2121"/>
      <c r="B281" s="2121"/>
      <c r="D281" s="717"/>
      <c r="E281" s="488" t="s">
        <v>92</v>
      </c>
      <c r="F281"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801"/>
      <c r="H281" s="2801"/>
      <c r="I281" s="2801"/>
      <c r="J281" s="2801"/>
      <c r="K281" s="2801"/>
      <c r="L281" s="2801"/>
      <c r="M281" s="638"/>
      <c r="N281" s="675"/>
      <c r="AH281" s="715">
        <v>26</v>
      </c>
    </row>
    <row s="21605" customFormat="1" customHeight="1" ht="60.75" hidden="1">
      <c r="A282" s="2121" t="s">
        <v>193</v>
      </c>
      <c r="B282" s="2121" t="s">
        <v>194</v>
      </c>
      <c r="C282" s="710"/>
      <c r="D282" s="2803"/>
      <c r="E282" s="2545"/>
      <c r="F282" s="272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768" t="str">
        <f>INDEX(PT_DIFFERENTIATION_NTAR,MATCH(B282,PT_DIFFERENTIATION_NTAR_ID,0))</f>
        <v/>
      </c>
      <c r="H282" s="2203"/>
      <c r="I282" s="2080"/>
      <c r="J282" s="2114"/>
      <c r="K282" s="2119"/>
      <c r="L282" s="2203" t="s">
        <v>420</v>
      </c>
      <c r="M282"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675"/>
      <c r="O282" s="1965"/>
      <c r="P282" s="1965"/>
      <c r="AH282" s="1972">
        <v>0</v>
      </c>
    </row>
    <row s="21605" customFormat="1" customHeight="1" ht="18.75" hidden="1">
      <c r="A283" s="2121"/>
      <c r="B283" s="2121"/>
      <c r="C283" s="710" t="s">
        <v>1257</v>
      </c>
      <c r="D283" s="2803"/>
      <c r="E283" s="2545"/>
      <c r="F283" s="2724"/>
      <c r="G283" s="2768"/>
      <c r="H283" s="1841"/>
      <c r="I283" s="992" t="s">
        <v>1256</v>
      </c>
      <c r="J283" s="912"/>
      <c r="K283" s="1841"/>
      <c r="L283" s="555"/>
      <c r="M283" s="2511"/>
      <c r="N283" s="675"/>
      <c r="O283" s="1965"/>
      <c r="P283" s="1965"/>
      <c r="AH283" s="1972">
        <v>0</v>
      </c>
    </row>
    <row s="21605" customFormat="1" customHeight="1" ht="0.75" hidden="1">
      <c r="A284" s="2121"/>
      <c r="B284" s="2121"/>
      <c r="C284" s="710" t="s">
        <v>1266</v>
      </c>
      <c r="D284" s="2803"/>
      <c r="E284" s="2545"/>
      <c r="F284" s="2724"/>
      <c r="G284" s="741"/>
      <c r="H284" s="1841"/>
      <c r="I284" s="992"/>
      <c r="J284" s="912"/>
      <c r="K284" s="1841"/>
      <c r="L284" s="555"/>
      <c r="M284" s="2511"/>
      <c r="N284" s="675"/>
      <c r="O284" s="1965"/>
      <c r="P284" s="1965"/>
      <c r="AH284" s="1972">
        <v>0</v>
      </c>
    </row>
    <row s="21605" customFormat="1" customHeight="1" ht="45" hidden="1">
      <c r="A285" s="2121" t="s">
        <v>198</v>
      </c>
      <c r="B285" s="2121" t="s">
        <v>199</v>
      </c>
      <c r="C285" s="710"/>
      <c r="D285" s="2803"/>
      <c r="E285" s="2545"/>
      <c r="F285" s="2724" t="str">
        <f>INDEX(PT_DIFFERENTIATION_VTAR,MATCH(A285,PT_DIFFERENTIATION_VTAR_ID,0))</f>
        <v/>
      </c>
      <c r="G285" s="2768" t="str">
        <f>INDEX(PT_DIFFERENTIATION_NTAR,MATCH(B285,PT_DIFFERENTIATION_NTAR_ID,0))</f>
        <v/>
      </c>
      <c r="H285" s="2203"/>
      <c r="I285" s="2080"/>
      <c r="J285" s="2114"/>
      <c r="K285" s="2119"/>
      <c r="L285" s="2203" t="s">
        <v>420</v>
      </c>
      <c r="M285" s="2512"/>
      <c r="N285" s="675"/>
      <c r="O285" s="1965"/>
      <c r="P285" s="1965"/>
      <c r="AH285" s="1972">
        <v>0</v>
      </c>
    </row>
    <row s="21605" customFormat="1" customHeight="1" ht="18.75" hidden="1">
      <c r="A286" s="2121"/>
      <c r="B286" s="2121"/>
      <c r="C286" s="710" t="s">
        <v>1257</v>
      </c>
      <c r="D286" s="2803"/>
      <c r="E286" s="2545"/>
      <c r="F286" s="2724"/>
      <c r="G286" s="2768"/>
      <c r="H286" s="1841"/>
      <c r="I286" s="992" t="s">
        <v>1256</v>
      </c>
      <c r="J286" s="912"/>
      <c r="K286" s="1841"/>
      <c r="L286" s="555"/>
      <c r="M286" s="2202"/>
      <c r="N286" s="675"/>
      <c r="O286" s="1965"/>
      <c r="P286" s="1965"/>
      <c r="AH286" s="1972">
        <v>0</v>
      </c>
    </row>
    <row s="21605" customFormat="1" customHeight="1" ht="0.75" hidden="1">
      <c r="A287" s="2121"/>
      <c r="B287" s="2121"/>
      <c r="C287" s="710" t="s">
        <v>1266</v>
      </c>
      <c r="D287" s="2803"/>
      <c r="E287" s="2545"/>
      <c r="F287" s="2724"/>
      <c r="G287" s="741"/>
      <c r="H287" s="1841"/>
      <c r="I287" s="992"/>
      <c r="J287" s="912"/>
      <c r="K287" s="1841"/>
      <c r="L287" s="555"/>
      <c r="M287" s="682"/>
      <c r="N287" s="675"/>
      <c r="O287" s="1965"/>
      <c r="P287" s="1965"/>
      <c r="AH287" s="1972">
        <v>0</v>
      </c>
    </row>
    <row s="21605" customFormat="1" customHeight="1" ht="45" hidden="1">
      <c r="A288" s="2121" t="s">
        <v>205</v>
      </c>
      <c r="B288" s="2121" t="s">
        <v>206</v>
      </c>
      <c r="C288" s="710"/>
      <c r="D288" s="2803"/>
      <c r="E288" s="2545"/>
      <c r="F288" s="2724"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768" t="str">
        <f>INDEX(PT_DIFFERENTIATION_NTAR,MATCH(B288,PT_DIFFERENTIATION_NTAR_ID,0))</f>
        <v/>
      </c>
      <c r="H288" s="2203"/>
      <c r="I288" s="2080"/>
      <c r="J288" s="2114"/>
      <c r="K288" s="2119"/>
      <c r="L288" s="2203" t="s">
        <v>420</v>
      </c>
      <c r="M288" s="682"/>
      <c r="N288" s="675"/>
      <c r="O288" s="1965"/>
      <c r="P288" s="1965"/>
      <c r="AH288" s="1972">
        <v>0</v>
      </c>
    </row>
    <row s="21605" customFormat="1" customHeight="1" ht="18.75" hidden="1">
      <c r="A289" s="2121"/>
      <c r="B289" s="2121"/>
      <c r="C289" s="710" t="s">
        <v>1257</v>
      </c>
      <c r="D289" s="2803"/>
      <c r="E289" s="2545"/>
      <c r="F289" s="2724"/>
      <c r="G289" s="2768"/>
      <c r="H289" s="1841"/>
      <c r="I289" s="992" t="s">
        <v>1256</v>
      </c>
      <c r="J289" s="912"/>
      <c r="K289" s="1841"/>
      <c r="L289" s="555"/>
      <c r="M289" s="682"/>
      <c r="N289" s="675"/>
      <c r="O289" s="1965"/>
      <c r="P289" s="1965"/>
      <c r="AH289" s="1972">
        <v>0</v>
      </c>
    </row>
    <row s="21605" customFormat="1" customHeight="1" ht="0.75" hidden="1">
      <c r="A290" s="2121"/>
      <c r="B290" s="2121"/>
      <c r="C290" s="710" t="s">
        <v>1266</v>
      </c>
      <c r="D290" s="2803"/>
      <c r="E290" s="2545"/>
      <c r="F290" s="2724"/>
      <c r="G290" s="741"/>
      <c r="H290" s="1841"/>
      <c r="I290" s="992"/>
      <c r="J290" s="912"/>
      <c r="K290" s="1841"/>
      <c r="L290" s="555"/>
      <c r="M290" s="682"/>
      <c r="N290" s="675"/>
      <c r="O290" s="1965"/>
      <c r="P290" s="1965"/>
      <c r="AH290" s="1972">
        <v>0</v>
      </c>
    </row>
    <row s="21605" customFormat="1" customHeight="1" ht="45" hidden="1">
      <c r="A291" s="2121" t="s">
        <v>211</v>
      </c>
      <c r="B291" s="2121" t="s">
        <v>212</v>
      </c>
      <c r="C291" s="710"/>
      <c r="D291" s="2803"/>
      <c r="E291" s="2545"/>
      <c r="F291" s="2724"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768" t="str">
        <f>INDEX(PT_DIFFERENTIATION_NTAR,MATCH(B291,PT_DIFFERENTIATION_NTAR_ID,0))</f>
        <v/>
      </c>
      <c r="H291" s="2203"/>
      <c r="I291" s="2080"/>
      <c r="J291" s="2114"/>
      <c r="K291" s="2119"/>
      <c r="L291" s="2203" t="s">
        <v>420</v>
      </c>
      <c r="M291" s="682"/>
      <c r="N291" s="675"/>
      <c r="O291" s="1965"/>
      <c r="P291" s="1965"/>
      <c r="AH291" s="1972">
        <v>0</v>
      </c>
    </row>
    <row s="21605" customFormat="1" customHeight="1" ht="18.75" hidden="1">
      <c r="A292" s="2121"/>
      <c r="B292" s="2121"/>
      <c r="C292" s="710" t="s">
        <v>1257</v>
      </c>
      <c r="D292" s="2803"/>
      <c r="E292" s="2545"/>
      <c r="F292" s="2724"/>
      <c r="G292" s="2768"/>
      <c r="H292" s="1841"/>
      <c r="I292" s="992" t="s">
        <v>1256</v>
      </c>
      <c r="J292" s="912"/>
      <c r="K292" s="1841"/>
      <c r="L292" s="555"/>
      <c r="M292" s="682"/>
      <c r="N292" s="675"/>
      <c r="O292" s="1965"/>
      <c r="P292" s="1965"/>
      <c r="AH292" s="1972">
        <v>0</v>
      </c>
    </row>
    <row s="21605" customFormat="1" customHeight="1" ht="0.75" hidden="1">
      <c r="A293" s="2121"/>
      <c r="B293" s="2121"/>
      <c r="C293" s="710" t="s">
        <v>1266</v>
      </c>
      <c r="D293" s="2803"/>
      <c r="E293" s="2545"/>
      <c r="F293" s="2724"/>
      <c r="G293" s="741"/>
      <c r="H293" s="1841"/>
      <c r="I293" s="992"/>
      <c r="J293" s="912"/>
      <c r="K293" s="1841"/>
      <c r="L293" s="555"/>
      <c r="M293" s="682"/>
      <c r="N293" s="675"/>
      <c r="O293" s="1965"/>
      <c r="P293" s="1965"/>
      <c r="AH293" s="1972">
        <v>0</v>
      </c>
    </row>
    <row s="21605" customFormat="1" customHeight="1" ht="18.75" hidden="1">
      <c r="A294" s="2121" t="s">
        <v>217</v>
      </c>
      <c r="B294" s="2121" t="s">
        <v>218</v>
      </c>
      <c r="C294" s="710"/>
      <c r="D294" s="2803"/>
      <c r="E294" s="2545"/>
      <c r="F294" s="2724" t="str">
        <f>INDEX(PT_DIFFERENTIATION_VTAR,MATCH(A294,PT_DIFFERENTIATION_VTAR_ID,0))</f>
        <v>Тарифы на услуги по передаче тепловой энергии</v>
      </c>
      <c r="G294" s="2768" t="str">
        <f>INDEX(PT_DIFFERENTIATION_NTAR,MATCH(B294,PT_DIFFERENTIATION_NTAR_ID,0))</f>
        <v/>
      </c>
      <c r="H294" s="2203"/>
      <c r="I294" s="2080"/>
      <c r="J294" s="2114"/>
      <c r="K294" s="2119"/>
      <c r="L294" s="2203" t="s">
        <v>420</v>
      </c>
      <c r="M294" s="682"/>
      <c r="N294" s="675"/>
      <c r="O294" s="1965"/>
      <c r="P294" s="1965"/>
      <c r="AH294" s="1972">
        <v>0</v>
      </c>
    </row>
    <row s="21605" customFormat="1" customHeight="1" ht="18.75" hidden="1">
      <c r="A295" s="2121"/>
      <c r="B295" s="2121"/>
      <c r="C295" s="710" t="s">
        <v>1257</v>
      </c>
      <c r="D295" s="2803"/>
      <c r="E295" s="2545"/>
      <c r="F295" s="2724"/>
      <c r="G295" s="2768"/>
      <c r="H295" s="1841"/>
      <c r="I295" s="992" t="s">
        <v>1256</v>
      </c>
      <c r="J295" s="912"/>
      <c r="K295" s="1841"/>
      <c r="L295" s="555"/>
      <c r="M295" s="682"/>
      <c r="N295" s="675"/>
      <c r="O295" s="1965"/>
      <c r="P295" s="1965"/>
      <c r="AH295" s="1972">
        <v>0</v>
      </c>
    </row>
    <row s="21605" customFormat="1" customHeight="1" ht="0.75" hidden="1">
      <c r="A296" s="2121"/>
      <c r="B296" s="2121"/>
      <c r="C296" s="710" t="s">
        <v>1266</v>
      </c>
      <c r="D296" s="2803"/>
      <c r="E296" s="2545"/>
      <c r="F296" s="2724"/>
      <c r="G296" s="741"/>
      <c r="H296" s="1841"/>
      <c r="I296" s="992"/>
      <c r="J296" s="912"/>
      <c r="K296" s="1841"/>
      <c r="L296" s="555"/>
      <c r="M296" s="682"/>
      <c r="N296" s="675"/>
      <c r="O296" s="1965"/>
      <c r="P296" s="1965"/>
      <c r="AH296" s="1972">
        <v>0</v>
      </c>
    </row>
    <row s="21605" customFormat="1" customHeight="1" ht="18.75" hidden="1">
      <c r="A297" s="2121" t="s">
        <v>223</v>
      </c>
      <c r="B297" s="2121" t="s">
        <v>224</v>
      </c>
      <c r="C297" s="710"/>
      <c r="D297" s="2803"/>
      <c r="E297" s="2545"/>
      <c r="F297" s="2724" t="str">
        <f>INDEX(PT_DIFFERENTIATION_VTAR,MATCH(A297,PT_DIFFERENTIATION_VTAR_ID,0))</f>
        <v>Тарифы на услуги по передаче теплоносителя</v>
      </c>
      <c r="G297" s="2768" t="str">
        <f>INDEX(PT_DIFFERENTIATION_NTAR,MATCH(B297,PT_DIFFERENTIATION_NTAR_ID,0))</f>
        <v/>
      </c>
      <c r="H297" s="2203"/>
      <c r="I297" s="2080"/>
      <c r="J297" s="2114"/>
      <c r="K297" s="2119"/>
      <c r="L297" s="2203" t="s">
        <v>420</v>
      </c>
      <c r="M297" s="682"/>
      <c r="N297" s="675"/>
      <c r="O297" s="1965"/>
      <c r="P297" s="1965"/>
      <c r="AH297" s="1972">
        <v>0</v>
      </c>
    </row>
    <row s="21605" customFormat="1" customHeight="1" ht="18.75" hidden="1">
      <c r="A298" s="2121"/>
      <c r="B298" s="2121"/>
      <c r="C298" s="710" t="s">
        <v>1257</v>
      </c>
      <c r="D298" s="2803"/>
      <c r="E298" s="2545"/>
      <c r="F298" s="2724"/>
      <c r="G298" s="2768"/>
      <c r="H298" s="1841"/>
      <c r="I298" s="992" t="s">
        <v>1256</v>
      </c>
      <c r="J298" s="912"/>
      <c r="K298" s="1841"/>
      <c r="L298" s="555"/>
      <c r="M298" s="682"/>
      <c r="N298" s="675"/>
      <c r="O298" s="1965"/>
      <c r="P298" s="1965"/>
      <c r="AH298" s="1972">
        <v>0</v>
      </c>
    </row>
    <row s="21605" customFormat="1" customHeight="1" ht="0.75" hidden="1">
      <c r="A299" s="2121"/>
      <c r="B299" s="2121"/>
      <c r="C299" s="710" t="s">
        <v>1266</v>
      </c>
      <c r="D299" s="2803"/>
      <c r="E299" s="2545"/>
      <c r="F299" s="2724"/>
      <c r="G299" s="741"/>
      <c r="H299" s="1841"/>
      <c r="I299" s="992"/>
      <c r="J299" s="912"/>
      <c r="K299" s="1841"/>
      <c r="L299" s="555"/>
      <c r="M299" s="682"/>
      <c r="N299" s="675"/>
      <c r="O299" s="1965"/>
      <c r="P299" s="1965"/>
      <c r="AH299" s="1972">
        <v>0</v>
      </c>
    </row>
    <row s="21605" customFormat="1" customHeight="1" ht="18.75" hidden="1">
      <c r="A300" s="2121" t="s">
        <v>229</v>
      </c>
      <c r="B300" s="2121" t="s">
        <v>230</v>
      </c>
      <c r="C300" s="710"/>
      <c r="D300" s="2803"/>
      <c r="E300" s="2545"/>
      <c r="F300" s="2724"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768" t="str">
        <f>INDEX(PT_DIFFERENTIATION_NTAR,MATCH(B300,PT_DIFFERENTIATION_NTAR_ID,0))</f>
        <v/>
      </c>
      <c r="H300" s="2203"/>
      <c r="I300" s="2080"/>
      <c r="J300" s="2114"/>
      <c r="K300" s="2119"/>
      <c r="L300" s="2203" t="s">
        <v>420</v>
      </c>
      <c r="M300" s="682"/>
      <c r="N300" s="675"/>
      <c r="O300" s="1965"/>
      <c r="P300" s="1965"/>
      <c r="AH300" s="1972">
        <v>0</v>
      </c>
    </row>
    <row s="21605" customFormat="1" customHeight="1" ht="18.75" hidden="1">
      <c r="A301" s="2121"/>
      <c r="B301" s="2121"/>
      <c r="C301" s="710" t="s">
        <v>1257</v>
      </c>
      <c r="D301" s="2803"/>
      <c r="E301" s="2545"/>
      <c r="F301" s="2724"/>
      <c r="G301" s="2768"/>
      <c r="H301" s="1841"/>
      <c r="I301" s="992" t="s">
        <v>1256</v>
      </c>
      <c r="J301" s="912"/>
      <c r="K301" s="1841"/>
      <c r="L301" s="555"/>
      <c r="M301" s="682"/>
      <c r="N301" s="675"/>
      <c r="O301" s="1965"/>
      <c r="P301" s="1965"/>
      <c r="AH301" s="1972">
        <v>0</v>
      </c>
    </row>
    <row s="21605" customFormat="1" customHeight="1" ht="0.75" hidden="1">
      <c r="A302" s="2121"/>
      <c r="B302" s="2121"/>
      <c r="C302" s="710" t="s">
        <v>1266</v>
      </c>
      <c r="D302" s="2803"/>
      <c r="E302" s="2545"/>
      <c r="F302" s="2724"/>
      <c r="G302" s="741"/>
      <c r="H302" s="1841"/>
      <c r="I302" s="992"/>
      <c r="J302" s="912"/>
      <c r="K302" s="1841"/>
      <c r="L302" s="555"/>
      <c r="M302" s="682"/>
      <c r="N302" s="675"/>
      <c r="O302" s="1965"/>
      <c r="P302" s="1965"/>
      <c r="AH302" s="1972">
        <v>0</v>
      </c>
    </row>
    <row s="21605" customFormat="1" customHeight="1" ht="18.75" hidden="1">
      <c r="A303" s="2121" t="s">
        <v>235</v>
      </c>
      <c r="B303" s="2121" t="s">
        <v>236</v>
      </c>
      <c r="C303" s="710"/>
      <c r="D303" s="2803"/>
      <c r="E303" s="2545"/>
      <c r="F303" s="2724" t="str">
        <f>INDEX(PT_DIFFERENTIATION_VTAR,MATCH(A303,PT_DIFFERENTIATION_VTAR_ID,0))</f>
        <v>Плата за подключение (технологическое присоединение) к системе теплоснабжения</v>
      </c>
      <c r="G303" s="2768" t="str">
        <f>INDEX(PT_DIFFERENTIATION_NTAR,MATCH(B303,PT_DIFFERENTIATION_NTAR_ID,0))</f>
        <v/>
      </c>
      <c r="H303" s="2203"/>
      <c r="I303" s="2080"/>
      <c r="J303" s="2114"/>
      <c r="K303" s="2119"/>
      <c r="L303" s="2203" t="s">
        <v>420</v>
      </c>
      <c r="M303" s="682"/>
      <c r="N303" s="675"/>
      <c r="O303" s="1965"/>
      <c r="P303" s="1965"/>
      <c r="AH303" s="1972">
        <v>0</v>
      </c>
    </row>
    <row s="21605" customFormat="1" customHeight="1" ht="18.75" hidden="1">
      <c r="A304" s="2121"/>
      <c r="B304" s="2121"/>
      <c r="C304" s="710" t="s">
        <v>1257</v>
      </c>
      <c r="D304" s="2803"/>
      <c r="E304" s="2545"/>
      <c r="F304" s="2724"/>
      <c r="G304" s="2768"/>
      <c r="H304" s="1841"/>
      <c r="I304" s="992" t="s">
        <v>1256</v>
      </c>
      <c r="J304" s="912"/>
      <c r="K304" s="1841"/>
      <c r="L304" s="555"/>
      <c r="M304" s="682"/>
      <c r="N304" s="675"/>
      <c r="O304" s="1965"/>
      <c r="P304" s="1965"/>
      <c r="AH304" s="1972">
        <v>0</v>
      </c>
    </row>
    <row s="21605" customFormat="1" customHeight="1" ht="0.75" hidden="1">
      <c r="A305" s="2121"/>
      <c r="B305" s="2121"/>
      <c r="C305" s="710" t="s">
        <v>1266</v>
      </c>
      <c r="D305" s="2803"/>
      <c r="E305" s="2545"/>
      <c r="F305" s="2724"/>
      <c r="G305" s="741"/>
      <c r="H305" s="1841"/>
      <c r="I305" s="992"/>
      <c r="J305" s="912"/>
      <c r="K305" s="1841"/>
      <c r="L305" s="555"/>
      <c r="M305" s="682"/>
      <c r="N305" s="675"/>
      <c r="O305" s="1965"/>
      <c r="P305" s="1965"/>
      <c r="AH305" s="1972">
        <v>0</v>
      </c>
    </row>
    <row s="21605" customFormat="1" customHeight="1" ht="18.75" hidden="1">
      <c r="A306" s="2121" t="s">
        <v>241</v>
      </c>
      <c r="B306" s="2121" t="s">
        <v>242</v>
      </c>
      <c r="C306" s="710"/>
      <c r="D306" s="2803"/>
      <c r="E306" s="2545"/>
      <c r="F306" s="2724" t="str">
        <f>INDEX(PT_DIFFERENTIATION_VTAR,MATCH(A306,PT_DIFFERENTIATION_VTAR_ID,0))</f>
        <v>Плата за подключение (технологическое присоединение) к системе теплоснабжения (индивидуальная)</v>
      </c>
      <c r="G306" s="2768" t="str">
        <f>INDEX(PT_DIFFERENTIATION_NTAR,MATCH(B306,PT_DIFFERENTIATION_NTAR_ID,0))</f>
        <v/>
      </c>
      <c r="H306" s="2330"/>
      <c r="I306" s="2080"/>
      <c r="J306" s="2114"/>
      <c r="K306" s="2119"/>
      <c r="L306" s="2330" t="s">
        <v>420</v>
      </c>
      <c r="M306" s="682"/>
      <c r="N306" s="675"/>
      <c r="O306" s="1965"/>
      <c r="P306" s="1965"/>
      <c r="AH306" s="1972">
        <v>0</v>
      </c>
    </row>
    <row s="21605" customFormat="1" customHeight="1" ht="18.75" hidden="1">
      <c r="A307" s="2121"/>
      <c r="B307" s="2121"/>
      <c r="C307" s="710" t="s">
        <v>1257</v>
      </c>
      <c r="D307" s="2803"/>
      <c r="E307" s="2545"/>
      <c r="F307" s="2724"/>
      <c r="G307" s="2768"/>
      <c r="H307" s="1841"/>
      <c r="I307" s="992" t="s">
        <v>1256</v>
      </c>
      <c r="J307" s="912"/>
      <c r="K307" s="1841"/>
      <c r="L307" s="555"/>
      <c r="M307" s="682"/>
      <c r="N307" s="675"/>
      <c r="O307" s="1965"/>
      <c r="P307" s="1965"/>
      <c r="AH307" s="1972">
        <v>0</v>
      </c>
    </row>
    <row s="21605" customFormat="1" customHeight="1" ht="0.75" hidden="1">
      <c r="A308" s="2121"/>
      <c r="B308" s="2121"/>
      <c r="C308" s="710" t="s">
        <v>1266</v>
      </c>
      <c r="D308" s="2803"/>
      <c r="E308" s="2545"/>
      <c r="F308" s="2724"/>
      <c r="G308" s="741"/>
      <c r="H308" s="1841"/>
      <c r="I308" s="992"/>
      <c r="J308" s="912"/>
      <c r="K308" s="1841"/>
      <c r="L308" s="555"/>
      <c r="M308" s="682"/>
      <c r="N308" s="675"/>
      <c r="O308" s="1965"/>
      <c r="P308" s="1965"/>
      <c r="AH308" s="1972">
        <v>0</v>
      </c>
    </row>
    <row s="21605" customFormat="1" customHeight="1" ht="18.75">
      <c r="A309" s="2121" t="s">
        <v>264</v>
      </c>
      <c r="B309" s="2121" t="s">
        <v>265</v>
      </c>
      <c r="C309" s="710"/>
      <c r="D309" s="2803"/>
      <c r="E309" s="2545"/>
      <c r="F309" s="2724" t="str">
        <f>INDEX(PT_DIFFERENTIATION_VTAR,MATCH(A309,PT_DIFFERENTIATION_VTAR_ID,0))</f>
        <v>Тариф на питьевую воду (питьевое водоснабжение)</v>
      </c>
      <c r="G309" s="2768" t="str">
        <f>INDEX(PT_DIFFERENTIATION_NTAR,MATCH(B309,PT_DIFFERENTIATION_NTAR_ID,0))</f>
        <v>Тариф на услуги водоснабжения</v>
      </c>
      <c r="H309" s="2203"/>
      <c r="I309" s="5100">
        <v>45658.61524305555</v>
      </c>
      <c r="J309" s="20802">
        <v>47118.61537037037</v>
      </c>
      <c r="K309" s="2119">
        <v>0</v>
      </c>
      <c r="L309" s="2203" t="s">
        <v>420</v>
      </c>
      <c r="M309" s="682"/>
      <c r="N309" s="675"/>
      <c r="O309" s="1965"/>
      <c r="P309" s="1965"/>
      <c r="AH309" s="1972">
        <v>0</v>
      </c>
    </row>
    <row s="21605" customFormat="1" customHeight="1" ht="18.75">
      <c r="A310" s="2121"/>
      <c r="B310" s="2121"/>
      <c r="C310" s="710" t="s">
        <v>1257</v>
      </c>
      <c r="D310" s="2803"/>
      <c r="E310" s="2545"/>
      <c r="F310" s="2724"/>
      <c r="G310" s="2768"/>
      <c r="H310" s="1841"/>
      <c r="I310" s="992" t="s">
        <v>1256</v>
      </c>
      <c r="J310" s="912"/>
      <c r="K310" s="1841"/>
      <c r="L310" s="555"/>
      <c r="M310" s="682"/>
      <c r="N310" s="675"/>
      <c r="O310" s="1965"/>
      <c r="P310" s="1965"/>
      <c r="AH310" s="1972">
        <v>0</v>
      </c>
    </row>
    <row s="21605" customFormat="1" customHeight="1" ht="0.75">
      <c r="A311" s="2121"/>
      <c r="B311" s="2121"/>
      <c r="C311" s="710" t="s">
        <v>1266</v>
      </c>
      <c r="D311" s="2803"/>
      <c r="E311" s="2545"/>
      <c r="F311" s="2724"/>
      <c r="G311" s="741"/>
      <c r="H311" s="1841"/>
      <c r="I311" s="992"/>
      <c r="J311" s="912"/>
      <c r="K311" s="1841"/>
      <c r="L311" s="555"/>
      <c r="M311" s="682"/>
      <c r="N311" s="675"/>
      <c r="O311" s="1965"/>
      <c r="P311" s="1965"/>
      <c r="AH311" s="1972">
        <v>0</v>
      </c>
    </row>
    <row s="21605" customFormat="1" customHeight="1" ht="18.75">
      <c r="A312" s="2121" t="s">
        <v>344</v>
      </c>
      <c r="B312" s="2121" t="s">
        <v>345</v>
      </c>
      <c r="C312" s="710"/>
      <c r="D312" s="2803"/>
      <c r="E312" s="2545"/>
      <c r="F312" s="2724" t="str">
        <f>INDEX(PT_DIFFERENTIATION_VTAR,MATCH(A312,PT_DIFFERENTIATION_VTAR_ID,0))</f>
        <v>Тариф на техническую воду</v>
      </c>
      <c r="G312" s="2768" t="str">
        <f>INDEX(PT_DIFFERENTIATION_NTAR,MATCH(B312,PT_DIFFERENTIATION_NTAR_ID,0))</f>
        <v/>
      </c>
      <c r="H312" s="2203"/>
      <c r="I312" s="20803">
        <v>45658.66479166667</v>
      </c>
      <c r="J312" s="20802">
        <v>47118.664976851855</v>
      </c>
      <c r="K312" s="2119">
        <v>0</v>
      </c>
      <c r="L312" s="2203" t="s">
        <v>420</v>
      </c>
      <c r="M312" s="682"/>
      <c r="N312" s="675"/>
      <c r="O312" s="1965"/>
      <c r="P312" s="1965"/>
      <c r="AH312" s="1972">
        <v>0</v>
      </c>
    </row>
    <row s="21605" customFormat="1" customHeight="1" ht="18.75">
      <c r="A313" s="2121"/>
      <c r="B313" s="2121"/>
      <c r="C313" s="710" t="s">
        <v>1257</v>
      </c>
      <c r="D313" s="2803"/>
      <c r="E313" s="2545"/>
      <c r="F313" s="2724"/>
      <c r="G313" s="2768"/>
      <c r="H313" s="1841"/>
      <c r="I313" s="992" t="s">
        <v>1256</v>
      </c>
      <c r="J313" s="912"/>
      <c r="K313" s="1841"/>
      <c r="L313" s="555"/>
      <c r="M313" s="682"/>
      <c r="N313" s="675"/>
      <c r="O313" s="1965"/>
      <c r="P313" s="1965"/>
      <c r="AH313" s="1972">
        <v>0</v>
      </c>
    </row>
    <row s="21605" customFormat="1" customHeight="1" ht="0.75">
      <c r="A314" s="2121"/>
      <c r="B314" s="2121"/>
      <c r="C314" s="710" t="s">
        <v>1266</v>
      </c>
      <c r="D314" s="2803"/>
      <c r="E314" s="2545"/>
      <c r="F314" s="2724"/>
      <c r="G314" s="741"/>
      <c r="H314" s="1841"/>
      <c r="I314" s="992"/>
      <c r="J314" s="912"/>
      <c r="K314" s="1841"/>
      <c r="L314" s="555"/>
      <c r="M314" s="682"/>
      <c r="N314" s="675"/>
      <c r="O314" s="1965"/>
      <c r="P314" s="1965"/>
      <c r="AH314" s="1972">
        <v>0</v>
      </c>
    </row>
    <row s="21605" customFormat="1" customHeight="1" ht="18.75" hidden="1">
      <c r="A315" s="2121" t="s">
        <v>349</v>
      </c>
      <c r="B315" s="2121" t="s">
        <v>350</v>
      </c>
      <c r="C315" s="710"/>
      <c r="D315" s="2803"/>
      <c r="E315" s="2545"/>
      <c r="F315" s="2724" t="str">
        <f>INDEX(PT_DIFFERENTIATION_VTAR,MATCH(A315,PT_DIFFERENTIATION_VTAR_ID,0))</f>
        <v>Тариф на транспортировку воды</v>
      </c>
      <c r="G315" s="2768" t="str">
        <f>INDEX(PT_DIFFERENTIATION_NTAR,MATCH(B315,PT_DIFFERENTIATION_NTAR_ID,0))</f>
        <v/>
      </c>
      <c r="H315" s="2203"/>
      <c r="I315" s="2080"/>
      <c r="J315" s="2114"/>
      <c r="K315" s="2119"/>
      <c r="L315" s="2203" t="s">
        <v>420</v>
      </c>
      <c r="M315" s="682"/>
      <c r="N315" s="675"/>
      <c r="O315" s="1965"/>
      <c r="P315" s="1965"/>
      <c r="AH315" s="1972">
        <v>0</v>
      </c>
    </row>
    <row s="21605" customFormat="1" customHeight="1" ht="18.75" hidden="1">
      <c r="A316" s="2121"/>
      <c r="B316" s="2121"/>
      <c r="C316" s="710" t="s">
        <v>1257</v>
      </c>
      <c r="D316" s="2803"/>
      <c r="E316" s="2545"/>
      <c r="F316" s="2724"/>
      <c r="G316" s="2768"/>
      <c r="H316" s="1841"/>
      <c r="I316" s="992" t="s">
        <v>1256</v>
      </c>
      <c r="J316" s="912"/>
      <c r="K316" s="1841"/>
      <c r="L316" s="555"/>
      <c r="M316" s="682"/>
      <c r="N316" s="675"/>
      <c r="O316" s="1965"/>
      <c r="P316" s="1965"/>
      <c r="AH316" s="1972">
        <v>0</v>
      </c>
    </row>
    <row s="21605" customFormat="1" customHeight="1" ht="0.75" hidden="1">
      <c r="A317" s="2121"/>
      <c r="B317" s="2121"/>
      <c r="C317" s="710" t="s">
        <v>1266</v>
      </c>
      <c r="D317" s="2803"/>
      <c r="E317" s="2545"/>
      <c r="F317" s="2724"/>
      <c r="G317" s="741"/>
      <c r="H317" s="1841"/>
      <c r="I317" s="992"/>
      <c r="J317" s="912"/>
      <c r="K317" s="1841"/>
      <c r="L317" s="555"/>
      <c r="M317" s="682"/>
      <c r="N317" s="675"/>
      <c r="O317" s="1965"/>
      <c r="P317" s="1965"/>
      <c r="AH317" s="1972">
        <v>0</v>
      </c>
    </row>
    <row s="21605" customFormat="1" customHeight="1" ht="18.75" hidden="1">
      <c r="A318" s="2121" t="s">
        <v>354</v>
      </c>
      <c r="B318" s="2121" t="s">
        <v>355</v>
      </c>
      <c r="C318" s="710"/>
      <c r="D318" s="2803"/>
      <c r="E318" s="2545"/>
      <c r="F318" s="2724" t="str">
        <f>INDEX(PT_DIFFERENTIATION_VTAR,MATCH(A318,PT_DIFFERENTIATION_VTAR_ID,0))</f>
        <v>Тариф на подвоз воды</v>
      </c>
      <c r="G318" s="2768" t="str">
        <f>INDEX(PT_DIFFERENTIATION_NTAR,MATCH(B318,PT_DIFFERENTIATION_NTAR_ID,0))</f>
        <v/>
      </c>
      <c r="H318" s="2203"/>
      <c r="I318" s="2080"/>
      <c r="J318" s="2114"/>
      <c r="K318" s="2119"/>
      <c r="L318" s="2203" t="s">
        <v>420</v>
      </c>
      <c r="M318" s="682"/>
      <c r="N318" s="675"/>
      <c r="O318" s="1965"/>
      <c r="P318" s="1965"/>
      <c r="AH318" s="1972">
        <v>0</v>
      </c>
    </row>
    <row s="21605" customFormat="1" customHeight="1" ht="18.75" hidden="1">
      <c r="A319" s="2121"/>
      <c r="B319" s="2121"/>
      <c r="C319" s="710" t="s">
        <v>1257</v>
      </c>
      <c r="D319" s="2803"/>
      <c r="E319" s="2545"/>
      <c r="F319" s="2724"/>
      <c r="G319" s="2768"/>
      <c r="H319" s="1841"/>
      <c r="I319" s="992" t="s">
        <v>1256</v>
      </c>
      <c r="J319" s="912"/>
      <c r="K319" s="1841"/>
      <c r="L319" s="555"/>
      <c r="M319" s="682"/>
      <c r="N319" s="675"/>
      <c r="O319" s="1965"/>
      <c r="P319" s="1965"/>
      <c r="AH319" s="1972">
        <v>0</v>
      </c>
    </row>
    <row s="21605" customFormat="1" customHeight="1" ht="0.75" hidden="1">
      <c r="A320" s="2121"/>
      <c r="B320" s="2121"/>
      <c r="C320" s="710" t="s">
        <v>1266</v>
      </c>
      <c r="D320" s="2803"/>
      <c r="E320" s="2545"/>
      <c r="F320" s="2724"/>
      <c r="G320" s="741"/>
      <c r="H320" s="1841"/>
      <c r="I320" s="992"/>
      <c r="J320" s="912"/>
      <c r="K320" s="1841"/>
      <c r="L320" s="555"/>
      <c r="M320" s="682"/>
      <c r="N320" s="675"/>
      <c r="O320" s="1965"/>
      <c r="P320" s="1965"/>
      <c r="AH320" s="1972">
        <v>0</v>
      </c>
    </row>
    <row s="21605" customFormat="1" customHeight="1" ht="18.75" hidden="1">
      <c r="A321" s="2121" t="s">
        <v>359</v>
      </c>
      <c r="B321" s="2121" t="s">
        <v>360</v>
      </c>
      <c r="C321" s="710"/>
      <c r="D321" s="2803"/>
      <c r="E321" s="2545"/>
      <c r="F321" s="2724"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768" t="str">
        <f>INDEX(PT_DIFFERENTIATION_NTAR,MATCH(B321,PT_DIFFERENTIATION_NTAR_ID,0))</f>
        <v/>
      </c>
      <c r="H321" s="2203"/>
      <c r="I321" s="2080"/>
      <c r="J321" s="2114"/>
      <c r="K321" s="2119"/>
      <c r="L321" s="2203" t="s">
        <v>420</v>
      </c>
      <c r="M321" s="682"/>
      <c r="N321" s="675"/>
      <c r="O321" s="1965"/>
      <c r="P321" s="1965"/>
      <c r="AH321" s="1972">
        <v>0</v>
      </c>
    </row>
    <row s="21605" customFormat="1" customHeight="1" ht="18.75" hidden="1">
      <c r="A322" s="2121"/>
      <c r="B322" s="2121"/>
      <c r="C322" s="710" t="s">
        <v>1257</v>
      </c>
      <c r="D322" s="2803"/>
      <c r="E322" s="2545"/>
      <c r="F322" s="2724"/>
      <c r="G322" s="2768"/>
      <c r="H322" s="1841"/>
      <c r="I322" s="992" t="s">
        <v>1256</v>
      </c>
      <c r="J322" s="912"/>
      <c r="K322" s="1841"/>
      <c r="L322" s="555"/>
      <c r="M322" s="682"/>
      <c r="N322" s="675"/>
      <c r="O322" s="1965"/>
      <c r="P322" s="1965"/>
      <c r="AH322" s="1972">
        <v>0</v>
      </c>
    </row>
    <row s="21605" customFormat="1" customHeight="1" ht="0.75" hidden="1">
      <c r="A323" s="2121"/>
      <c r="B323" s="2121"/>
      <c r="C323" s="710" t="s">
        <v>1266</v>
      </c>
      <c r="D323" s="2803"/>
      <c r="E323" s="2545"/>
      <c r="F323" s="2724"/>
      <c r="G323" s="741"/>
      <c r="H323" s="1841"/>
      <c r="I323" s="992"/>
      <c r="J323" s="912"/>
      <c r="K323" s="1841"/>
      <c r="L323" s="555"/>
      <c r="M323" s="682"/>
      <c r="N323" s="675"/>
      <c r="O323" s="1965"/>
      <c r="P323" s="1965"/>
      <c r="AH323" s="1972">
        <v>0</v>
      </c>
    </row>
    <row s="21605" customFormat="1" customHeight="1" ht="18.75" hidden="1">
      <c r="A324" s="2121" t="s">
        <v>364</v>
      </c>
      <c r="B324" s="2121" t="s">
        <v>365</v>
      </c>
      <c r="C324" s="710"/>
      <c r="D324" s="2803"/>
      <c r="E324" s="2545"/>
      <c r="F324" s="2724" t="str">
        <f>INDEX(PT_DIFFERENTIATION_VTAR,MATCH(A324,PT_DIFFERENTIATION_VTAR_ID,0))</f>
        <v>Тариф на горячую воду (горячее водоснабжение)</v>
      </c>
      <c r="G324" s="2768" t="str">
        <f>INDEX(PT_DIFFERENTIATION_NTAR,MATCH(B324,PT_DIFFERENTIATION_NTAR_ID,0))</f>
        <v/>
      </c>
      <c r="H324" s="2203"/>
      <c r="I324" s="2080"/>
      <c r="J324" s="2114"/>
      <c r="K324" s="2119"/>
      <c r="L324" s="2203" t="s">
        <v>420</v>
      </c>
      <c r="M324" s="682"/>
      <c r="N324" s="675"/>
      <c r="O324" s="1965"/>
      <c r="P324" s="1965"/>
      <c r="AH324" s="1972">
        <v>0</v>
      </c>
    </row>
    <row s="21605" customFormat="1" customHeight="1" ht="18.75" hidden="1">
      <c r="A325" s="2121"/>
      <c r="B325" s="2121"/>
      <c r="C325" s="710" t="s">
        <v>1257</v>
      </c>
      <c r="D325" s="2803"/>
      <c r="E325" s="2545"/>
      <c r="F325" s="2724"/>
      <c r="G325" s="2768"/>
      <c r="H325" s="1841"/>
      <c r="I325" s="992" t="s">
        <v>1256</v>
      </c>
      <c r="J325" s="912"/>
      <c r="K325" s="1841"/>
      <c r="L325" s="555"/>
      <c r="M325" s="682"/>
      <c r="N325" s="675"/>
      <c r="O325" s="1965"/>
      <c r="P325" s="1965"/>
      <c r="AH325" s="1972">
        <v>0</v>
      </c>
    </row>
    <row s="21605" customFormat="1" customHeight="1" ht="0.75" hidden="1">
      <c r="A326" s="2121"/>
      <c r="B326" s="2121"/>
      <c r="C326" s="710" t="s">
        <v>1266</v>
      </c>
      <c r="D326" s="2803"/>
      <c r="E326" s="2545"/>
      <c r="F326" s="2724"/>
      <c r="G326" s="741"/>
      <c r="H326" s="1841"/>
      <c r="I326" s="992"/>
      <c r="J326" s="912"/>
      <c r="K326" s="1841"/>
      <c r="L326" s="555"/>
      <c r="M326" s="682"/>
      <c r="N326" s="675"/>
      <c r="O326" s="1965"/>
      <c r="P326" s="1965"/>
      <c r="AH326" s="1972">
        <v>0</v>
      </c>
    </row>
    <row s="21605" customFormat="1" customHeight="1" ht="18.75" hidden="1">
      <c r="A327" s="2121" t="s">
        <v>369</v>
      </c>
      <c r="B327" s="2121" t="s">
        <v>370</v>
      </c>
      <c r="C327" s="710"/>
      <c r="D327" s="2803"/>
      <c r="E327" s="2545"/>
      <c r="F327" s="2724" t="str">
        <f>INDEX(PT_DIFFERENTIATION_VTAR,MATCH(A327,PT_DIFFERENTIATION_VTAR_ID,0))</f>
        <v>Тариф на транспортировку горячей воды</v>
      </c>
      <c r="G327" s="2768" t="str">
        <f>INDEX(PT_DIFFERENTIATION_NTAR,MATCH(B327,PT_DIFFERENTIATION_NTAR_ID,0))</f>
        <v/>
      </c>
      <c r="H327" s="2203"/>
      <c r="I327" s="2080"/>
      <c r="J327" s="2114"/>
      <c r="K327" s="2119"/>
      <c r="L327" s="2203" t="s">
        <v>420</v>
      </c>
      <c r="M327" s="682"/>
      <c r="N327" s="675"/>
      <c r="O327" s="1965"/>
      <c r="P327" s="1965"/>
      <c r="AH327" s="1972">
        <v>0</v>
      </c>
    </row>
    <row s="21605" customFormat="1" customHeight="1" ht="18.75" hidden="1">
      <c r="A328" s="2121"/>
      <c r="B328" s="2121"/>
      <c r="C328" s="710" t="s">
        <v>1257</v>
      </c>
      <c r="D328" s="2803"/>
      <c r="E328" s="2545"/>
      <c r="F328" s="2724"/>
      <c r="G328" s="2768"/>
      <c r="H328" s="1841"/>
      <c r="I328" s="992" t="s">
        <v>1256</v>
      </c>
      <c r="J328" s="912"/>
      <c r="K328" s="1841"/>
      <c r="L328" s="555"/>
      <c r="M328" s="682"/>
      <c r="N328" s="675"/>
      <c r="O328" s="1965"/>
      <c r="P328" s="1965"/>
      <c r="AH328" s="1972">
        <v>0</v>
      </c>
    </row>
    <row s="21605" customFormat="1" customHeight="1" ht="0.75" hidden="1">
      <c r="A329" s="2121"/>
      <c r="B329" s="2121"/>
      <c r="C329" s="710" t="s">
        <v>1266</v>
      </c>
      <c r="D329" s="2803"/>
      <c r="E329" s="2545"/>
      <c r="F329" s="2724"/>
      <c r="G329" s="741"/>
      <c r="H329" s="1841"/>
      <c r="I329" s="992"/>
      <c r="J329" s="912"/>
      <c r="K329" s="1841"/>
      <c r="L329" s="555"/>
      <c r="M329" s="682"/>
      <c r="N329" s="675"/>
      <c r="O329" s="1965"/>
      <c r="P329" s="1965"/>
      <c r="AH329" s="1972">
        <v>0</v>
      </c>
    </row>
    <row s="21605" customFormat="1" customHeight="1" ht="18.75" hidden="1">
      <c r="A330" s="2121" t="s">
        <v>374</v>
      </c>
      <c r="B330" s="2121" t="s">
        <v>375</v>
      </c>
      <c r="C330" s="710"/>
      <c r="D330" s="2803"/>
      <c r="E330" s="2545"/>
      <c r="F330" s="2724" t="str">
        <f>INDEX(PT_DIFFERENTIATION_VTAR,MATCH(A330,PT_DIFFERENTIATION_VTAR_ID,0))</f>
        <v>Тариф на подключение (технологическое присоединение) к централизованной системе горячего водоснабжения</v>
      </c>
      <c r="G330" s="2768" t="str">
        <f>INDEX(PT_DIFFERENTIATION_NTAR,MATCH(B330,PT_DIFFERENTIATION_NTAR_ID,0))</f>
        <v/>
      </c>
      <c r="H330" s="2203"/>
      <c r="I330" s="2080"/>
      <c r="J330" s="2114"/>
      <c r="K330" s="2119"/>
      <c r="L330" s="2203" t="s">
        <v>420</v>
      </c>
      <c r="M330" s="682"/>
      <c r="N330" s="675"/>
      <c r="O330" s="1965"/>
      <c r="P330" s="1965"/>
      <c r="AH330" s="1972">
        <v>0</v>
      </c>
    </row>
    <row s="21605" customFormat="1" customHeight="1" ht="18.75" hidden="1">
      <c r="A331" s="2121"/>
      <c r="B331" s="2121"/>
      <c r="C331" s="710" t="s">
        <v>1257</v>
      </c>
      <c r="D331" s="2803"/>
      <c r="E331" s="2545"/>
      <c r="F331" s="2724"/>
      <c r="G331" s="2768"/>
      <c r="H331" s="1841"/>
      <c r="I331" s="992" t="s">
        <v>1256</v>
      </c>
      <c r="J331" s="912"/>
      <c r="K331" s="1841"/>
      <c r="L331" s="555"/>
      <c r="M331" s="682"/>
      <c r="N331" s="675"/>
      <c r="O331" s="1965"/>
      <c r="P331" s="1965"/>
      <c r="AH331" s="1972">
        <v>0</v>
      </c>
    </row>
    <row s="21605" customFormat="1" customHeight="1" ht="0.75" hidden="1">
      <c r="A332" s="2121"/>
      <c r="B332" s="2121"/>
      <c r="C332" s="710" t="s">
        <v>1266</v>
      </c>
      <c r="D332" s="2803"/>
      <c r="E332" s="2545"/>
      <c r="F332" s="2724"/>
      <c r="G332" s="741"/>
      <c r="H332" s="1841"/>
      <c r="I332" s="992"/>
      <c r="J332" s="912"/>
      <c r="K332" s="1841"/>
      <c r="L332" s="555"/>
      <c r="M332" s="682"/>
      <c r="N332" s="675"/>
      <c r="O332" s="1965"/>
      <c r="P332" s="1965"/>
      <c r="AH332" s="1972">
        <v>0</v>
      </c>
    </row>
    <row s="21605" customFormat="1" customHeight="1" ht="18.75" hidden="1">
      <c r="A333" s="2121" t="s">
        <v>379</v>
      </c>
      <c r="B333" s="2121" t="s">
        <v>380</v>
      </c>
      <c r="C333" s="710"/>
      <c r="D333" s="2803"/>
      <c r="E333" s="2545"/>
      <c r="F333" s="2724" t="str">
        <f>INDEX(PT_DIFFERENTIATION_VTAR,MATCH(A333,PT_DIFFERENTIATION_VTAR_ID,0))</f>
        <v>Тариф на водоотведение</v>
      </c>
      <c r="G333" s="2768" t="str">
        <f>INDEX(PT_DIFFERENTIATION_NTAR,MATCH(B333,PT_DIFFERENTIATION_NTAR_ID,0))</f>
        <v/>
      </c>
      <c r="H333" s="2203"/>
      <c r="I333" s="2080"/>
      <c r="J333" s="2114"/>
      <c r="K333" s="2119"/>
      <c r="L333" s="2203" t="s">
        <v>420</v>
      </c>
      <c r="M333" s="682"/>
      <c r="N333" s="675"/>
      <c r="O333" s="1965"/>
      <c r="P333" s="1965"/>
      <c r="AH333" s="1972">
        <v>0</v>
      </c>
    </row>
    <row s="21605" customFormat="1" customHeight="1" ht="18.75" hidden="1">
      <c r="A334" s="2121"/>
      <c r="B334" s="2121"/>
      <c r="C334" s="710" t="s">
        <v>1257</v>
      </c>
      <c r="D334" s="2803"/>
      <c r="E334" s="2545"/>
      <c r="F334" s="2724"/>
      <c r="G334" s="2768"/>
      <c r="H334" s="1841"/>
      <c r="I334" s="992" t="s">
        <v>1256</v>
      </c>
      <c r="J334" s="912"/>
      <c r="K334" s="1841"/>
      <c r="L334" s="555"/>
      <c r="M334" s="682"/>
      <c r="N334" s="675"/>
      <c r="O334" s="1965"/>
      <c r="P334" s="1965"/>
      <c r="AH334" s="1972">
        <v>0</v>
      </c>
    </row>
    <row s="21605" customFormat="1" customHeight="1" ht="0.75" hidden="1">
      <c r="A335" s="2121"/>
      <c r="B335" s="2121"/>
      <c r="C335" s="710" t="s">
        <v>1266</v>
      </c>
      <c r="D335" s="2803"/>
      <c r="E335" s="2545"/>
      <c r="F335" s="2724"/>
      <c r="G335" s="741"/>
      <c r="H335" s="1841"/>
      <c r="I335" s="992"/>
      <c r="J335" s="912"/>
      <c r="K335" s="1841"/>
      <c r="L335" s="555"/>
      <c r="M335" s="682"/>
      <c r="N335" s="675"/>
      <c r="O335" s="1965"/>
      <c r="P335" s="1965"/>
      <c r="AH335" s="1972">
        <v>0</v>
      </c>
    </row>
    <row s="21605" customFormat="1" customHeight="1" ht="18.75" hidden="1">
      <c r="A336" s="2121" t="s">
        <v>384</v>
      </c>
      <c r="B336" s="2121" t="s">
        <v>385</v>
      </c>
      <c r="C336" s="710"/>
      <c r="D336" s="2803"/>
      <c r="E336" s="2545"/>
      <c r="F336" s="2724" t="str">
        <f>INDEX(PT_DIFFERENTIATION_VTAR,MATCH(A336,PT_DIFFERENTIATION_VTAR_ID,0))</f>
        <v>Тариф на транспортировку сточных вод</v>
      </c>
      <c r="G336" s="2768" t="str">
        <f>INDEX(PT_DIFFERENTIATION_NTAR,MATCH(B336,PT_DIFFERENTIATION_NTAR_ID,0))</f>
        <v/>
      </c>
      <c r="H336" s="2203"/>
      <c r="I336" s="2080"/>
      <c r="J336" s="2114"/>
      <c r="K336" s="2119"/>
      <c r="L336" s="2203" t="s">
        <v>420</v>
      </c>
      <c r="M336" s="682"/>
      <c r="N336" s="675"/>
      <c r="O336" s="1965"/>
      <c r="P336" s="1965"/>
      <c r="AH336" s="1972">
        <v>0</v>
      </c>
    </row>
    <row s="21605" customFormat="1" customHeight="1" ht="18.75" hidden="1">
      <c r="A337" s="2121"/>
      <c r="B337" s="2121"/>
      <c r="C337" s="710" t="s">
        <v>1257</v>
      </c>
      <c r="D337" s="2803"/>
      <c r="E337" s="2545"/>
      <c r="F337" s="2724"/>
      <c r="G337" s="2768"/>
      <c r="H337" s="1841"/>
      <c r="I337" s="992" t="s">
        <v>1256</v>
      </c>
      <c r="J337" s="912"/>
      <c r="K337" s="1841"/>
      <c r="L337" s="555"/>
      <c r="M337" s="682"/>
      <c r="N337" s="675"/>
      <c r="O337" s="1965"/>
      <c r="P337" s="1965"/>
      <c r="AH337" s="1972">
        <v>0</v>
      </c>
    </row>
    <row s="21605" customFormat="1" customHeight="1" ht="0.75" hidden="1">
      <c r="A338" s="2121"/>
      <c r="B338" s="2121"/>
      <c r="C338" s="710" t="s">
        <v>1266</v>
      </c>
      <c r="D338" s="2803"/>
      <c r="E338" s="2545"/>
      <c r="F338" s="2724"/>
      <c r="G338" s="741"/>
      <c r="H338" s="1841"/>
      <c r="I338" s="992"/>
      <c r="J338" s="912"/>
      <c r="K338" s="1841"/>
      <c r="L338" s="555"/>
      <c r="M338" s="682"/>
      <c r="N338" s="675"/>
      <c r="O338" s="1965"/>
      <c r="P338" s="1965"/>
      <c r="AH338" s="1972">
        <v>0</v>
      </c>
    </row>
    <row s="21605" customFormat="1" customHeight="1" ht="18.75" hidden="1">
      <c r="A339" s="2121" t="s">
        <v>389</v>
      </c>
      <c r="B339" s="2121" t="s">
        <v>390</v>
      </c>
      <c r="C339" s="710"/>
      <c r="D339" s="2803"/>
      <c r="E339" s="2545"/>
      <c r="F339" s="2724" t="str">
        <f>INDEX(PT_DIFFERENTIATION_VTAR,MATCH(A339,PT_DIFFERENTIATION_VTAR_ID,0))</f>
        <v>Тариф на подключение (технологическое присоединение) к централизованной системе водоотведения</v>
      </c>
      <c r="G339" s="2768" t="str">
        <f>INDEX(PT_DIFFERENTIATION_NTAR,MATCH(B339,PT_DIFFERENTIATION_NTAR_ID,0))</f>
        <v/>
      </c>
      <c r="H339" s="2203"/>
      <c r="I339" s="2080"/>
      <c r="J339" s="2114"/>
      <c r="K339" s="2119"/>
      <c r="L339" s="2203" t="s">
        <v>420</v>
      </c>
      <c r="M339" s="682"/>
      <c r="N339" s="675"/>
      <c r="O339" s="1965"/>
      <c r="P339" s="1965"/>
      <c r="AH339" s="1972">
        <v>0</v>
      </c>
    </row>
    <row s="21605" customFormat="1" customHeight="1" ht="18.75" hidden="1">
      <c r="A340" s="2121"/>
      <c r="B340" s="2121"/>
      <c r="C340" s="710" t="s">
        <v>1257</v>
      </c>
      <c r="D340" s="2803"/>
      <c r="E340" s="2545"/>
      <c r="F340" s="2724"/>
      <c r="G340" s="2768"/>
      <c r="H340" s="1841"/>
      <c r="I340" s="992" t="s">
        <v>1256</v>
      </c>
      <c r="J340" s="912"/>
      <c r="K340" s="1841"/>
      <c r="L340" s="555"/>
      <c r="M340" s="682"/>
      <c r="N340" s="675"/>
      <c r="O340" s="1965"/>
      <c r="P340" s="1965"/>
      <c r="AH340" s="1972">
        <v>0</v>
      </c>
    </row>
    <row s="21605" customFormat="1" customHeight="1" ht="1.05">
      <c r="A341" s="2121"/>
      <c r="B341" s="2121"/>
      <c r="C341" s="710" t="s">
        <v>1266</v>
      </c>
      <c r="D341" s="2803"/>
      <c r="E341" s="2545"/>
      <c r="F341" s="2724"/>
      <c r="G341" s="741"/>
      <c r="H341" s="1841"/>
      <c r="I341" s="992"/>
      <c r="J341" s="912"/>
      <c r="K341" s="1841"/>
      <c r="L341" s="555"/>
      <c r="M341" s="682"/>
      <c r="N341" s="675"/>
      <c r="O341" s="1965"/>
      <c r="P341" s="1965"/>
      <c r="AH341" s="1972">
        <v>1</v>
      </c>
    </row>
    <row s="27034" customFormat="1" customHeight="1" ht="3">
      <c r="A342" s="2121"/>
      <c r="B342" s="2121"/>
      <c r="C342" s="2122"/>
      <c r="E342" s="743"/>
      <c r="F342" s="743"/>
      <c r="G342" s="743"/>
      <c r="H342" s="743"/>
      <c r="I342" s="743"/>
      <c r="J342" s="743"/>
      <c r="K342" s="743"/>
      <c r="L342" s="743"/>
      <c r="M342" s="743"/>
      <c r="O342" s="537"/>
      <c r="P342" s="537"/>
      <c r="AH342" s="481">
        <v>3</v>
      </c>
    </row>
    <row customHeight="1" ht="26.25">
      <c r="E343" s="543"/>
      <c r="F343" s="2626"/>
      <c r="G343" s="2626"/>
      <c r="H343" s="2626"/>
      <c r="I343" s="2626"/>
      <c r="J343" s="2626"/>
      <c r="K343" s="2626"/>
      <c r="L343" s="2626"/>
      <c r="M343" s="2626"/>
      <c r="AH343" s="715">
        <v>25</v>
      </c>
    </row>
    <row customHeight="1" ht="14.25" hidden="1">
      <c r="A344" s="2120" t="s">
        <v>82</v>
      </c>
      <c r="B344" s="2120">
        <v>0</v>
      </c>
      <c r="C344" s="710">
        <v>0</v>
      </c>
      <c r="D344" s="685">
        <v>3</v>
      </c>
      <c r="E344" s="715">
        <v>6</v>
      </c>
      <c r="F344" s="715">
        <v>46</v>
      </c>
      <c r="G344" s="715">
        <v>35</v>
      </c>
      <c r="H344" s="715">
        <v>3</v>
      </c>
      <c r="I344" s="715">
        <v>11</v>
      </c>
      <c r="J344" s="715">
        <v>11</v>
      </c>
      <c r="K344" s="715">
        <v>35</v>
      </c>
      <c r="L344" s="715">
        <v>35</v>
      </c>
      <c r="M344" s="715">
        <v>84</v>
      </c>
      <c r="N344" s="715">
        <v>10</v>
      </c>
      <c r="O344" s="691">
        <v>10</v>
      </c>
      <c r="P344" s="691">
        <v>10</v>
      </c>
      <c r="Q344" s="715">
        <v>10</v>
      </c>
      <c r="R344" s="715">
        <v>10</v>
      </c>
      <c r="S344" s="715">
        <v>10</v>
      </c>
      <c r="T344" s="715">
        <v>10</v>
      </c>
      <c r="U344" s="715">
        <v>10</v>
      </c>
      <c r="V344" s="715">
        <v>10</v>
      </c>
      <c r="W344" s="715">
        <v>10</v>
      </c>
      <c r="X344" s="715">
        <v>10</v>
      </c>
      <c r="Y344" s="715">
        <v>10</v>
      </c>
      <c r="Z344" s="715">
        <v>10</v>
      </c>
      <c r="AA344" s="715">
        <v>10</v>
      </c>
      <c r="AB344" s="715">
        <v>10</v>
      </c>
      <c r="AC344" s="715">
        <v>10</v>
      </c>
      <c r="AD344" s="715">
        <v>10</v>
      </c>
      <c r="AE344" s="715">
        <v>10</v>
      </c>
      <c r="AF344" s="715">
        <v>10</v>
      </c>
      <c r="AG344" s="715">
        <v>10</v>
      </c>
      <c r="AH344"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202:D204"/>
    <mergeCell ref="E202:E204"/>
    <mergeCell ref="F202:F204"/>
    <mergeCell ref="D193:D195"/>
    <mergeCell ref="E193:E195"/>
    <mergeCell ref="F193:F195"/>
    <mergeCell ref="D196:D198"/>
    <mergeCell ref="E196:E198"/>
    <mergeCell ref="F196:F198"/>
    <mergeCell ref="D181:D186"/>
    <mergeCell ref="E181:E186"/>
    <mergeCell ref="F181:F186"/>
    <mergeCell ref="D187:D192"/>
    <mergeCell ref="E187:E192"/>
    <mergeCell ref="F187:F192"/>
    <mergeCell ref="G187: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88"/>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8"/>
    <mergeCell ref="G120:G124"/>
    <mergeCell ref="G242:G243"/>
    <mergeCell ref="G248:G249"/>
    <mergeCell ref="G251:G252"/>
    <mergeCell ref="G254:G255"/>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0:K123 K114:K117 K108 K105 K102 K99 K96 K93 K90 K154 K150 K157 K160 K163 K166 K169 K172 K175 K181:K184 K187:K190 K193 K196 K199 K205 K208 K211 K214 K217 K202 K278 K282 K285 K288 K291 K294 K297 K300 K303 K309 K312 K315 K318 K321 K324 K327 K330 K333 K336 K339 K5 K111 K178 K245 K30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21:M222 M23 M87:M88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5:J275 I278:J278 I282:J282 I285:J285 I288:J288 I291:J291 I294:J294 I297:J297 I300:J300 I303:J303 I309:J309 I312:J312 I315:J315 I318:J318 I321:J321 I324:J324 I327:J327 I330:J330 I333:J333 I336:J336 I339:J339 I2:J2 I5:J5 I48:J48 I111:J111 I178:J178 I245:J245 I306:J306"/>
  </dataValidations>
  <hyperlinks>
    <hyperlink ref="L85" r:id="rId2" xr:uid="{95CD2F83-9ACD-A939-78D2-6A549C6964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E834C-F43F-5CA2-E83D-B8C9CBF28AC5}"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22594" width="9.140625" hidden="1" customWidth="1"/>
    <col min="2" max="2" style="21687" width="9.140625" hidden="1" customWidth="1"/>
    <col min="3" max="3" style="22595" width="3.00390625" customWidth="1"/>
    <col min="4" max="4" style="21605" width="6.00390625" customWidth="1"/>
    <col min="5" max="5" style="21605" width="53.00390625" customWidth="1"/>
    <col min="6" max="7" style="21605" width="35.00390625" customWidth="1"/>
    <col min="8" max="8" style="21605" width="89.00390625" customWidth="1"/>
    <col min="9" max="9" style="21605" width="10.00390625" customWidth="1"/>
    <col min="10" max="11" style="21788" width="10.00390625" customWidth="1"/>
    <col min="12" max="17" style="21605" width="10.00390625" customWidth="1"/>
    <col min="18" max="18" style="21605" width="10.57421875" hidden="1"/>
  </cols>
  <sheetData>
    <row customHeight="1" ht="22.5" hidden="1">
      <c r="N1" s="596"/>
      <c r="O1" s="596"/>
      <c r="Q1" s="596"/>
      <c r="R1" s="715" t="s">
        <v>14</v>
      </c>
    </row>
    <row s="21605" customFormat="1" customHeight="1" ht="18.75" hidden="1">
      <c r="A2" s="443"/>
      <c r="B2" s="1501"/>
      <c r="C2" s="2071" t="s">
        <v>104</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96"/>
      <c r="F5" s="2796"/>
      <c r="G5" s="2797"/>
      <c r="H5" s="607"/>
      <c r="R5" s="715">
        <v>33</v>
      </c>
    </row>
    <row s="21605" customFormat="1" customHeight="1" ht="18">
      <c r="A6" s="2010"/>
      <c r="B6" s="1501"/>
      <c r="C6" s="717"/>
      <c r="D6" s="2798" t="str">
        <f>IF(org=0,"Не определено",org)</f>
        <v>КГУП "Примтеплоэнерго"</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414</v>
      </c>
      <c r="E8" s="2550"/>
      <c r="F8" s="2550"/>
      <c r="G8" s="2550"/>
      <c r="H8" s="2730" t="s">
        <v>415</v>
      </c>
      <c r="R8" s="715">
        <v>14</v>
      </c>
    </row>
    <row customHeight="1" ht="24">
      <c r="C9" s="717"/>
      <c r="D9" s="727" t="s">
        <v>88</v>
      </c>
      <c r="E9" s="449" t="s">
        <v>416</v>
      </c>
      <c r="F9" s="449" t="s">
        <v>417</v>
      </c>
      <c r="G9" s="449" t="s">
        <v>504</v>
      </c>
      <c r="H9" s="2730"/>
      <c r="R9" s="715">
        <v>23</v>
      </c>
    </row>
    <row customHeight="1" ht="15">
      <c r="A10" s="684"/>
      <c r="C10" s="717"/>
      <c r="D10" s="488" t="s">
        <v>145</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110" t="s">
        <v>1267</v>
      </c>
      <c r="G10" s="554" t="s">
        <v>1268</v>
      </c>
      <c r="H10" s="2510" t="s">
        <v>1269</v>
      </c>
      <c r="R10" s="715">
        <v>14</v>
      </c>
    </row>
    <row customHeight="1" ht="15">
      <c r="A11" s="684"/>
      <c r="C11" s="717"/>
      <c r="D11" s="488" t="s">
        <v>103</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98" t="s">
        <v>1270</v>
      </c>
      <c r="G11" s="554" t="s">
        <v>1271</v>
      </c>
      <c r="H11" s="2511"/>
      <c r="R11" s="715">
        <v>14</v>
      </c>
    </row>
    <row customHeight="1" ht="15">
      <c r="A12" s="443"/>
      <c r="C12" s="728"/>
      <c r="D12" s="488" t="s">
        <v>90</v>
      </c>
      <c r="E12" s="729" t="str">
        <f>"Сведения о планировании закупочных процедур"&amp;IF(TEMPLATE_SPHERE="TKO"," &lt;1&gt;","")</f>
        <v>Сведения о планировании закупочных процедур</v>
      </c>
      <c r="F12" s="598" t="s">
        <v>1272</v>
      </c>
      <c r="G12" s="554" t="s">
        <v>1273</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1"/>
      <c r="K12" s="715"/>
      <c r="R12" s="715">
        <v>14</v>
      </c>
    </row>
    <row customHeight="1" ht="15">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t="s">
        <v>1274</v>
      </c>
      <c r="G13" s="554" t="s">
        <v>1273</v>
      </c>
      <c r="H13" s="2511"/>
      <c r="I13" s="691"/>
      <c r="K13" s="715"/>
      <c r="R13" s="715">
        <v>14</v>
      </c>
    </row>
    <row customHeight="1" ht="14.699999999999998">
      <c r="A14" s="684"/>
      <c r="C14" s="717"/>
      <c r="D14" s="688"/>
      <c r="E14" s="736" t="s">
        <v>436</v>
      </c>
      <c r="F14" s="690"/>
      <c r="G14" s="542"/>
      <c r="H14" s="2512"/>
      <c r="R14" s="715">
        <v>14</v>
      </c>
    </row>
    <row s="21605"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6BD6-81CE-E1E2-EB1C-61A5795CDB6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1569" width="9.140625" hidden="1" customWidth="1"/>
    <col min="2" max="2" style="21605" width="9.140625" hidden="1" customWidth="1"/>
    <col min="3" max="3" style="26776" width="4.00390625" customWidth="1"/>
    <col min="4" max="4" style="21605" width="6.00390625" customWidth="1"/>
    <col min="5" max="5" style="21605" width="47.00390625" customWidth="1"/>
    <col min="6" max="6" style="21605" width="9.00390625" customWidth="1"/>
    <col min="7" max="7" style="21605" width="25.7109375" hidden="1" customWidth="1"/>
    <col min="8" max="8" style="21605" width="34.00390625" hidden="1" customWidth="1"/>
    <col min="9" max="9" style="21605" width="25.7109375" customWidth="1"/>
    <col min="10" max="10" style="21605" width="33.00390625" customWidth="1"/>
    <col min="11" max="11" style="21687" width="50.00390625" customWidth="1"/>
    <col min="12" max="20" style="21605" width="10.00390625" customWidth="1"/>
    <col min="21" max="21" style="26777" width="10.00390625" customWidth="1"/>
    <col min="22" max="22" style="21605" width="10.57421875" hidden="1"/>
  </cols>
  <sheetData>
    <row s="21687" customFormat="1" customHeight="1" ht="22.5" hidden="1">
      <c r="C1" s="1013"/>
      <c r="G1" s="758">
        <v>4</v>
      </c>
      <c r="I1" s="758">
        <v>4</v>
      </c>
      <c r="U1" s="761"/>
      <c r="V1" s="758" t="s">
        <v>14</v>
      </c>
    </row>
    <row s="21605" customFormat="1" customHeight="1" ht="15" hidden="1">
      <c r="A2" s="703"/>
      <c r="C2" s="517"/>
      <c r="D2" s="687"/>
      <c r="E2" s="1014"/>
      <c r="F2" s="863"/>
      <c r="G2" s="957"/>
      <c r="H2" s="957"/>
      <c r="I2" s="957"/>
      <c r="J2" s="957"/>
      <c r="U2" s="1015"/>
      <c r="V2" s="850">
        <v>0</v>
      </c>
    </row>
    <row s="21687" customFormat="1" customHeight="1" ht="15" hidden="1">
      <c r="C3" s="1013"/>
      <c r="U3" s="761"/>
      <c r="V3" s="758">
        <v>0</v>
      </c>
    </row>
    <row customHeight="1" ht="15.75">
      <c r="C4" s="517"/>
      <c r="D4" s="850"/>
      <c r="E4" s="850"/>
      <c r="F4" s="850"/>
      <c r="G4" s="850"/>
      <c r="H4" s="850"/>
      <c r="I4" s="850"/>
      <c r="J4" s="850"/>
      <c r="V4" s="846">
        <v>15</v>
      </c>
    </row>
    <row customHeight="1" ht="66">
      <c r="C5" s="517"/>
      <c r="D5" s="2578" t="s">
        <v>1275</v>
      </c>
      <c r="E5" s="2578"/>
      <c r="F5" s="2578"/>
      <c r="G5" s="2578"/>
      <c r="H5" s="2578"/>
      <c r="I5" s="2578"/>
      <c r="J5" s="2578"/>
      <c r="V5" s="846">
        <v>63</v>
      </c>
    </row>
    <row customHeight="1" ht="15.75">
      <c r="C6" s="517"/>
      <c r="D6" s="2517" t="str">
        <f>IF(org=0,"Не определено",org)</f>
        <v>КГУП "Примтеплоэнерго"</v>
      </c>
      <c r="E6" s="2517"/>
      <c r="F6" s="2517"/>
      <c r="G6" s="2517"/>
      <c r="H6" s="2517"/>
      <c r="I6" s="2517"/>
      <c r="J6" s="2517"/>
      <c r="K6" s="878"/>
      <c r="V6" s="846">
        <v>15</v>
      </c>
    </row>
    <row customHeight="1" ht="15.75">
      <c r="C7" s="517"/>
      <c r="D7" s="1093"/>
      <c r="E7" s="850"/>
      <c r="F7" s="850"/>
      <c r="G7" s="878">
        <v>22</v>
      </c>
      <c r="I7" s="878">
        <v>1</v>
      </c>
      <c r="J7" s="1093"/>
      <c r="V7" s="846">
        <v>15</v>
      </c>
    </row>
    <row s="21605" customFormat="1" customHeight="1" ht="1.05">
      <c r="A8" s="1100"/>
      <c r="C8" s="517"/>
      <c r="D8" s="850"/>
      <c r="E8" s="850"/>
      <c r="F8" s="850"/>
      <c r="G8" s="878"/>
      <c r="H8" s="1093"/>
      <c r="I8" s="878" t="s">
        <v>158</v>
      </c>
      <c r="J8" s="1093"/>
      <c r="K8" s="758"/>
      <c r="U8" s="1016"/>
      <c r="V8" s="1099">
        <v>1</v>
      </c>
    </row>
    <row customHeight="1" ht="15.75">
      <c r="C9" s="517"/>
      <c r="D9" s="1052"/>
      <c r="E9" s="2708" t="s">
        <v>150</v>
      </c>
      <c r="F9" s="2709"/>
      <c r="G9" s="2736" t="str">
        <f>IF(G8="","",INDEX(DIFFERENTIATION_UNMERGE_VD,MATCH(G8,DIFFERENTIATION_ID_DIFF,0)))</f>
        <v/>
      </c>
      <c r="H9" s="2737"/>
      <c r="I9" s="2736">
        <f>IF(I8="","",INDEX(DIFFERENTIATION_UNMERGE_VD,MATCH(I8,DIFFERENTIATION_ID_DIFF,0)))</f>
        <v>0</v>
      </c>
      <c r="J9" s="2737"/>
      <c r="K9" s="2516" t="s">
        <v>415</v>
      </c>
      <c r="V9" s="846">
        <v>15</v>
      </c>
    </row>
    <row s="21605" customFormat="1" customHeight="1" ht="15.75">
      <c r="A10" s="1100"/>
      <c r="C10" s="517"/>
      <c r="D10" s="1052"/>
      <c r="E10" s="2708" t="s">
        <v>676</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21605" customFormat="1" customHeight="1" ht="15.75">
      <c r="A11" s="1100"/>
      <c r="C11" s="517"/>
      <c r="D11" s="1052"/>
      <c r="E11" s="2708" t="s">
        <v>677</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21605" customFormat="1" customHeight="1" ht="15.75">
      <c r="A12" s="1100"/>
      <c r="C12" s="517"/>
      <c r="D12" s="2710" t="s">
        <v>414</v>
      </c>
      <c r="E12" s="2711"/>
      <c r="F12" s="2711"/>
      <c r="G12" s="1228"/>
      <c r="H12" s="1228"/>
      <c r="I12" s="1228"/>
      <c r="J12" s="1228"/>
      <c r="K12" s="2540"/>
      <c r="U12" s="1016"/>
      <c r="V12" s="1099">
        <v>15</v>
      </c>
    </row>
    <row customHeight="1" ht="35.699999999999996">
      <c r="C13" s="517"/>
      <c r="D13" s="1146" t="s">
        <v>88</v>
      </c>
      <c r="E13" s="1148" t="s">
        <v>416</v>
      </c>
      <c r="F13" s="1148" t="s">
        <v>678</v>
      </c>
      <c r="G13" s="1149" t="s">
        <v>417</v>
      </c>
      <c r="H13" s="1148" t="s">
        <v>504</v>
      </c>
      <c r="I13" s="1149" t="s">
        <v>417</v>
      </c>
      <c r="J13" s="1148" t="s">
        <v>504</v>
      </c>
      <c r="K13" s="2573"/>
      <c r="V13" s="846">
        <v>34</v>
      </c>
    </row>
    <row customHeight="1" ht="15" hidden="1">
      <c r="C14" s="517"/>
      <c r="D14" s="934" t="s">
        <v>145</v>
      </c>
      <c r="E14" s="934" t="s">
        <v>103</v>
      </c>
      <c r="F14" s="934" t="s">
        <v>90</v>
      </c>
      <c r="G14" s="1000" t="str">
        <f>G1&amp;".1"</f>
        <v>4.1</v>
      </c>
      <c r="H14" s="1000"/>
      <c r="I14" s="1000" t="str">
        <f>I1&amp;".1"</f>
        <v>4.1</v>
      </c>
      <c r="J14" s="1000"/>
      <c r="K14" s="630"/>
      <c r="V14" s="846">
        <v>0</v>
      </c>
    </row>
    <row customHeight="1" ht="22.5" hidden="1">
      <c r="A15" s="846"/>
      <c r="C15" s="867"/>
      <c r="D15" s="862">
        <v>1</v>
      </c>
      <c r="E15" s="1018" t="s">
        <v>920</v>
      </c>
      <c r="F15" s="862" t="s">
        <v>921</v>
      </c>
      <c r="G15" s="1019"/>
      <c r="H15" s="1019"/>
      <c r="I15" s="1019"/>
      <c r="J15" s="1019"/>
      <c r="K15" s="630" t="s">
        <v>922</v>
      </c>
      <c r="V15" s="846">
        <v>0</v>
      </c>
    </row>
    <row customHeight="1" ht="22.5" hidden="1">
      <c r="A16" s="846"/>
      <c r="C16" s="867"/>
      <c r="D16" s="862">
        <v>2</v>
      </c>
      <c r="E16" s="620" t="s">
        <v>923</v>
      </c>
      <c r="F16" s="862" t="s">
        <v>924</v>
      </c>
      <c r="G16" s="1019"/>
      <c r="H16" s="1019"/>
      <c r="I16" s="1019"/>
      <c r="J16" s="1019"/>
      <c r="K16" s="630" t="s">
        <v>925</v>
      </c>
      <c r="V16" s="846">
        <v>0</v>
      </c>
    </row>
    <row customHeight="1" ht="123.75" hidden="1">
      <c r="A17" s="846"/>
      <c r="C17" s="867"/>
      <c r="D17" s="862">
        <v>3</v>
      </c>
      <c r="E17" s="620" t="s">
        <v>1276</v>
      </c>
      <c r="F17" s="862" t="s">
        <v>420</v>
      </c>
      <c r="G17" s="1019"/>
      <c r="H17" s="1019"/>
      <c r="I17" s="1019"/>
      <c r="J17" s="1019"/>
      <c r="K17" s="630" t="s">
        <v>1277</v>
      </c>
      <c r="V17" s="846">
        <v>0</v>
      </c>
    </row>
    <row customHeight="1" ht="48.29999999999999">
      <c r="A18" s="846"/>
      <c r="C18" s="867"/>
      <c r="D18" s="862">
        <v>3</v>
      </c>
      <c r="E18" s="620" t="s">
        <v>926</v>
      </c>
      <c r="F18" s="862" t="s">
        <v>420</v>
      </c>
      <c r="G18" s="1150" t="s">
        <v>420</v>
      </c>
      <c r="H18" s="1151" t="s">
        <v>420</v>
      </c>
      <c r="I18" s="862" t="s">
        <v>420</v>
      </c>
      <c r="J18" s="919" t="s">
        <v>420</v>
      </c>
      <c r="K18" s="630" t="s">
        <v>1278</v>
      </c>
      <c r="V18" s="846">
        <v>46</v>
      </c>
    </row>
    <row customHeight="1" ht="35.699999999999996">
      <c r="A19" s="846"/>
      <c r="C19" s="867"/>
      <c r="D19" s="880" t="s">
        <v>438</v>
      </c>
      <c r="E19" s="900" t="s">
        <v>928</v>
      </c>
      <c r="F19" s="862" t="s">
        <v>929</v>
      </c>
      <c r="G19" s="1158"/>
      <c r="H19" s="447"/>
      <c r="I19" s="1158"/>
      <c r="J19" s="1159"/>
      <c r="K19" s="1020"/>
      <c r="V19" s="846">
        <v>34</v>
      </c>
    </row>
    <row customHeight="1" ht="35.699999999999996">
      <c r="A20" s="846"/>
      <c r="C20" s="867"/>
      <c r="D20" s="2231" t="s">
        <v>446</v>
      </c>
      <c r="E20" s="900" t="s">
        <v>930</v>
      </c>
      <c r="F20" s="862" t="s">
        <v>931</v>
      </c>
      <c r="G20" s="1158"/>
      <c r="H20" s="447"/>
      <c r="I20" s="1158"/>
      <c r="J20" s="447"/>
      <c r="K20" s="1020"/>
      <c r="V20" s="846">
        <v>34</v>
      </c>
    </row>
    <row customHeight="1" ht="48.29999999999999">
      <c r="A21" s="846"/>
      <c r="C21" s="867"/>
      <c r="D21" s="2231" t="s">
        <v>448</v>
      </c>
      <c r="E21" s="900" t="s">
        <v>932</v>
      </c>
      <c r="F21" s="862" t="s">
        <v>683</v>
      </c>
      <c r="G21" s="1021"/>
      <c r="H21" s="447"/>
      <c r="I21" s="1021"/>
      <c r="J21" s="447"/>
      <c r="K21" s="1020"/>
      <c r="V21" s="846">
        <v>46</v>
      </c>
    </row>
    <row customHeight="1" ht="67.5" hidden="1">
      <c r="A22" s="846"/>
      <c r="C22" s="867"/>
      <c r="D22" s="862">
        <v>5</v>
      </c>
      <c r="E22" s="620" t="s">
        <v>1279</v>
      </c>
      <c r="F22" s="862" t="s">
        <v>670</v>
      </c>
      <c r="G22" s="1022"/>
      <c r="H22" s="1023"/>
      <c r="I22" s="1022"/>
      <c r="J22" s="1023"/>
      <c r="K22" s="630" t="s">
        <v>1280</v>
      </c>
      <c r="V22" s="846">
        <v>0</v>
      </c>
    </row>
    <row customHeight="1" ht="33.75" hidden="1">
      <c r="C23" s="792"/>
      <c r="D23" s="862">
        <v>6</v>
      </c>
      <c r="E23" s="620" t="s">
        <v>1281</v>
      </c>
      <c r="F23" s="862" t="s">
        <v>1282</v>
      </c>
      <c r="G23" s="1022"/>
      <c r="H23" s="1022"/>
      <c r="I23" s="1022"/>
      <c r="J23" s="1022"/>
      <c r="K23" s="630" t="s">
        <v>1283</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82</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764E3E-3374-D78A-B9B4-66E43F2165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7212" width="32.57421875" customWidth="1"/>
    <col min="2" max="2" style="21748" width="11.00390625" customWidth="1"/>
    <col min="3" max="3" style="21748" width="9.140625"/>
    <col min="4" max="4" style="21748" width="26.57421875" customWidth="1"/>
    <col min="5" max="5" style="27034" width="36.8515625" customWidth="1"/>
    <col min="6" max="6" style="27034" width="23.57421875" customWidth="1"/>
    <col min="7" max="7" style="27034" width="31.421875" customWidth="1"/>
    <col min="8" max="8" style="27034" width="40.8515625" customWidth="1"/>
    <col min="9" max="9" style="27034" width="14.57421875" customWidth="1"/>
    <col min="10" max="10" style="27034" width="26.8515625" customWidth="1"/>
    <col min="11" max="11" style="27034" width="50.00390625" customWidth="1"/>
    <col min="12" max="12" style="27034" width="52.421875" customWidth="1"/>
    <col min="13" max="13" style="27034" width="10.7109375" customWidth="1"/>
    <col min="14" max="14" style="27034" width="55.140625" customWidth="1"/>
    <col min="15" max="15" style="27034" width="31.8515625" customWidth="1"/>
    <col min="16" max="16" style="27034" width="23.8515625" customWidth="1"/>
    <col min="17" max="17" style="27034" width="46.57421875" customWidth="1"/>
    <col min="18" max="18" style="27034" width="24.00390625" customWidth="1"/>
    <col min="19" max="19" style="27034" width="20.57421875" customWidth="1"/>
    <col min="20" max="20" style="27034" width="22.00390625" customWidth="1"/>
    <col min="21" max="22" style="27034" width="26.421875" customWidth="1"/>
    <col min="23" max="23" style="27034" width="8.28125" hidden="1" customWidth="1"/>
    <col min="24" max="24" style="27034" width="59.7109375" customWidth="1"/>
    <col min="25" max="25" style="27034" width="49.140625" customWidth="1"/>
    <col min="26" max="26" style="27034" width="11.140625" customWidth="1"/>
    <col min="27" max="30" style="27034" width="29.00390625" customWidth="1"/>
    <col min="31" max="31" style="27034" width="9.140625"/>
    <col min="32" max="32" style="27034" width="34.7109375" customWidth="1"/>
    <col min="33" max="33" style="27034" width="9.140625"/>
    <col min="34" max="35" style="27034" width="34.421875" customWidth="1"/>
    <col min="36" max="36" style="27034" width="9.140625"/>
    <col min="37" max="37" style="27034" width="24.57421875" customWidth="1"/>
    <col min="38" max="38" style="27034" width="9.140625"/>
    <col min="39" max="39" style="27034" width="26.140625" customWidth="1"/>
    <col min="40" max="40" style="27034" width="1.7109375" customWidth="1"/>
    <col min="41" max="41" style="27034" width="9.140625"/>
    <col min="42" max="43" style="27034" width="47.8515625" customWidth="1"/>
    <col min="44" max="44" style="27034" width="1.7109375" customWidth="1"/>
    <col min="45" max="45" style="27034" width="21.421875" customWidth="1"/>
    <col min="46" max="46" style="27034" width="1.7109375" customWidth="1"/>
    <col min="47" max="47" style="27034" width="31.28125" customWidth="1"/>
    <col min="48" max="48" style="27034" width="1.7109375" customWidth="1"/>
    <col min="49" max="50" style="27034" width="9.140625"/>
    <col min="51" max="51" style="27034" width="3.7109375" customWidth="1"/>
    <col min="52" max="52" style="27034" width="60.8515625" customWidth="1"/>
    <col min="53" max="53" style="27034" width="49.28125" customWidth="1"/>
    <col min="54" max="54" style="27034" width="35.140625" customWidth="1"/>
    <col min="55" max="55" style="27034" width="9.140625"/>
    <col min="56" max="56" style="27034" width="1.7109375" customWidth="1"/>
    <col min="57" max="57" style="27213" width="12.57421875" customWidth="1"/>
    <col min="58" max="58" style="27213" width="14.28125" customWidth="1"/>
    <col min="59" max="59" style="27034" width="30.7109375" customWidth="1"/>
    <col min="60" max="60" style="27214" width="40.7109375" customWidth="1"/>
    <col min="61" max="61" style="27214" width="15.00390625" customWidth="1"/>
    <col min="62" max="62" style="27214" width="40.7109375" customWidth="1"/>
    <col min="63" max="63" style="27214" width="2.7109375" customWidth="1"/>
    <col min="64" max="64" style="27214" width="44.7109375" customWidth="1"/>
    <col min="65" max="65" style="27214" width="2.7109375" customWidth="1"/>
    <col min="66" max="66" style="27214" width="40.7109375" customWidth="1"/>
    <col min="67" max="68" style="27034" width="9.140625"/>
    <col min="69" max="69" style="27034" width="18.140625" customWidth="1"/>
    <col min="70" max="70" style="27034" width="57.8515625" customWidth="1"/>
    <col min="71" max="71" style="27034" width="1.7109375" customWidth="1"/>
    <col min="72" max="72" style="27034" width="22.57421875" customWidth="1"/>
    <col min="73" max="73" style="27034" width="57.8515625" customWidth="1"/>
    <col min="74" max="74" style="27034" width="1.7109375" customWidth="1"/>
    <col min="75" max="75" style="27034" width="22.57421875" customWidth="1"/>
    <col min="76" max="76" style="27034" width="57.8515625" customWidth="1"/>
    <col min="77" max="77" style="27034" width="1.7109375" customWidth="1"/>
    <col min="78" max="78" style="27034" width="22.57421875" customWidth="1"/>
    <col min="79" max="79" style="27034" width="57.8515625" customWidth="1"/>
    <col min="80" max="81" style="27034" width="9.140625"/>
    <col min="82" max="82" style="27034" width="49.57421875" customWidth="1"/>
  </cols>
  <sheetData>
    <row s="27115" customFormat="1" customHeight="1" ht="11.25">
      <c r="A1" s="1408" t="s">
        <v>1284</v>
      </c>
      <c r="B1" s="1408" t="s">
        <v>1285</v>
      </c>
      <c r="C1" s="1408" t="s">
        <v>1286</v>
      </c>
      <c r="D1" s="1408" t="s">
        <v>1287</v>
      </c>
      <c r="E1" s="1408" t="s">
        <v>1288</v>
      </c>
      <c r="F1" s="1408" t="s">
        <v>1289</v>
      </c>
      <c r="G1" s="1408" t="s">
        <v>1290</v>
      </c>
      <c r="H1" s="1408" t="s">
        <v>1291</v>
      </c>
      <c r="I1" s="1408" t="s">
        <v>1292</v>
      </c>
      <c r="J1" s="1408" t="s">
        <v>1293</v>
      </c>
      <c r="K1" s="1408" t="s">
        <v>1294</v>
      </c>
      <c r="L1" s="1408" t="s">
        <v>1295</v>
      </c>
      <c r="M1" s="1408"/>
      <c r="N1" s="1408" t="s">
        <v>1296</v>
      </c>
      <c r="O1" s="1408" t="s">
        <v>1297</v>
      </c>
      <c r="P1" s="1408" t="s">
        <v>1298</v>
      </c>
      <c r="Q1" s="1408" t="s">
        <v>1299</v>
      </c>
      <c r="R1" s="1408" t="s">
        <v>1300</v>
      </c>
      <c r="S1" s="1408" t="s">
        <v>1301</v>
      </c>
      <c r="T1" s="1408" t="s">
        <v>1302</v>
      </c>
      <c r="U1" s="1408" t="s">
        <v>1303</v>
      </c>
      <c r="V1" s="1408"/>
      <c r="W1" s="1138" t="s">
        <v>1304</v>
      </c>
      <c r="X1" s="1408" t="s">
        <v>1305</v>
      </c>
      <c r="Y1" s="1408" t="s">
        <v>1306</v>
      </c>
      <c r="Z1" s="1408"/>
      <c r="AA1" s="1408" t="s">
        <v>1307</v>
      </c>
      <c r="AB1" s="1408"/>
      <c r="AC1" s="1408" t="s">
        <v>1308</v>
      </c>
      <c r="AD1" s="1408"/>
      <c r="AF1" s="1408" t="s">
        <v>1309</v>
      </c>
      <c r="AH1" s="1408" t="s">
        <v>1310</v>
      </c>
      <c r="AI1" s="1408" t="s">
        <v>1311</v>
      </c>
      <c r="AK1" s="1408" t="s">
        <v>1312</v>
      </c>
      <c r="AM1" s="1408" t="s">
        <v>1313</v>
      </c>
      <c r="AP1" s="1408" t="s">
        <v>1314</v>
      </c>
      <c r="AQ1" s="1408" t="s">
        <v>1315</v>
      </c>
      <c r="AS1" s="1408" t="s">
        <v>1316</v>
      </c>
      <c r="AU1" s="1408" t="s">
        <v>1317</v>
      </c>
      <c r="AW1" s="1408" t="s">
        <v>1318</v>
      </c>
      <c r="AX1" s="1408" t="s">
        <v>1319</v>
      </c>
      <c r="AZ1" s="1493" t="s">
        <v>1320</v>
      </c>
      <c r="BB1" s="1408" t="s">
        <v>1321</v>
      </c>
      <c r="BC1" s="1408"/>
      <c r="BE1" s="1408" t="s">
        <v>1322</v>
      </c>
      <c r="BF1" s="1408" t="s">
        <v>1323</v>
      </c>
      <c r="BH1" s="1410" t="s">
        <v>919</v>
      </c>
      <c r="BI1" s="1411"/>
      <c r="BJ1" s="1412" t="s">
        <v>1324</v>
      </c>
      <c r="BK1" s="1411"/>
      <c r="BL1" s="1413" t="s">
        <v>1018</v>
      </c>
      <c r="BM1" s="1411"/>
      <c r="BN1" s="1414" t="s">
        <v>1325</v>
      </c>
      <c r="BS1" s="1768"/>
    </row>
    <row customHeight="1" ht="11.25">
      <c r="A2" s="1415" t="s">
        <v>1326</v>
      </c>
      <c r="B2" s="1416">
        <v>2000</v>
      </c>
      <c r="C2" s="1416">
        <v>2022</v>
      </c>
      <c r="D2" s="1416" t="s">
        <v>66</v>
      </c>
      <c r="E2" s="1417" t="s">
        <v>1327</v>
      </c>
      <c r="F2" s="1417" t="s">
        <v>1328</v>
      </c>
      <c r="G2" s="1417" t="s">
        <v>1329</v>
      </c>
      <c r="H2" s="1418" t="s">
        <v>55</v>
      </c>
      <c r="I2" s="1417" t="s">
        <v>145</v>
      </c>
      <c r="J2" s="1417" t="s">
        <v>1330</v>
      </c>
      <c r="K2" s="1419" t="s">
        <v>1331</v>
      </c>
      <c r="L2" s="1420"/>
      <c r="M2" s="1419">
        <v>1</v>
      </c>
      <c r="N2" s="1503" t="s">
        <v>1332</v>
      </c>
      <c r="O2" s="1418" t="s">
        <v>1333</v>
      </c>
      <c r="P2" s="1421" t="s">
        <v>1334</v>
      </c>
      <c r="Q2" s="1422" t="s">
        <v>607</v>
      </c>
      <c r="R2" s="484" t="s">
        <v>1335</v>
      </c>
      <c r="S2" s="484" t="s">
        <v>1336</v>
      </c>
      <c r="T2" s="1423" t="s">
        <v>1337</v>
      </c>
      <c r="U2" s="1420" t="s">
        <v>1338</v>
      </c>
      <c r="V2" s="1424">
        <v>1</v>
      </c>
      <c r="W2" s="1425"/>
      <c r="X2" s="1425" t="s">
        <v>1339</v>
      </c>
      <c r="Y2" s="1416" t="s">
        <v>1340</v>
      </c>
      <c r="Z2" s="1426"/>
      <c r="AA2" s="1416" t="s">
        <v>1341</v>
      </c>
      <c r="AB2" s="1427" t="s">
        <v>1341</v>
      </c>
      <c r="AC2" s="1416" t="s">
        <v>1342</v>
      </c>
      <c r="AD2" s="1427" t="s">
        <v>1342</v>
      </c>
      <c r="AF2" s="1418" t="s">
        <v>1338</v>
      </c>
      <c r="AH2" s="1417" t="s">
        <v>1343</v>
      </c>
      <c r="AI2" s="1417" t="s">
        <v>1343</v>
      </c>
      <c r="AK2" s="1417" t="s">
        <v>1344</v>
      </c>
      <c r="AM2" s="1417" t="s">
        <v>1345</v>
      </c>
      <c r="AP2" s="1428" t="s">
        <v>1339</v>
      </c>
      <c r="AQ2" s="1429" t="s">
        <v>1339</v>
      </c>
      <c r="AS2" s="1416" t="s">
        <v>1346</v>
      </c>
      <c r="AU2" s="1461" t="s">
        <v>1347</v>
      </c>
      <c r="AW2" s="1461" t="s">
        <v>1348</v>
      </c>
      <c r="AX2" s="1461" t="s">
        <v>1348</v>
      </c>
      <c r="AZ2" s="1461" t="s">
        <v>1349</v>
      </c>
      <c r="BB2" s="1461" t="s">
        <v>1350</v>
      </c>
      <c r="BC2" s="1461" t="s">
        <v>1351</v>
      </c>
      <c r="BE2" s="1461">
        <v>2000</v>
      </c>
      <c r="BF2" s="1461" t="s">
        <v>1352</v>
      </c>
    </row>
    <row customHeight="1" ht="11.25">
      <c r="A3" s="1415" t="s">
        <v>1353</v>
      </c>
      <c r="B3" s="1416">
        <v>2001</v>
      </c>
      <c r="C3" s="1416">
        <v>2023</v>
      </c>
      <c r="D3" s="1416" t="s">
        <v>19</v>
      </c>
      <c r="E3" s="1417" t="s">
        <v>1354</v>
      </c>
      <c r="F3" s="1417" t="s">
        <v>1355</v>
      </c>
      <c r="G3" s="1417" t="s">
        <v>1356</v>
      </c>
      <c r="H3" s="1418" t="s">
        <v>1357</v>
      </c>
      <c r="I3" s="1417" t="s">
        <v>103</v>
      </c>
      <c r="J3" s="1417" t="s">
        <v>668</v>
      </c>
      <c r="K3" s="1419" t="s">
        <v>1262</v>
      </c>
      <c r="L3" s="1420">
        <f>_xlfn.IFERROR(MATCH(K3,OFFER_METHOD,0),0)</f>
        <v>28</v>
      </c>
      <c r="M3" s="1419">
        <v>2</v>
      </c>
      <c r="N3" s="1503" t="s">
        <v>1358</v>
      </c>
      <c r="O3" s="1418" t="s">
        <v>1359</v>
      </c>
      <c r="P3" s="1421" t="s">
        <v>37</v>
      </c>
      <c r="Q3" s="1422" t="s">
        <v>1360</v>
      </c>
      <c r="R3" s="484" t="s">
        <v>1361</v>
      </c>
      <c r="S3" s="484" t="s">
        <v>1362</v>
      </c>
      <c r="T3" s="1423" t="s">
        <v>1363</v>
      </c>
      <c r="U3" s="1420" t="s">
        <v>1364</v>
      </c>
      <c r="V3" s="1424">
        <v>2</v>
      </c>
      <c r="W3" s="1425"/>
      <c r="X3" s="1425" t="s">
        <v>1365</v>
      </c>
      <c r="Y3" s="1416" t="s">
        <v>1340</v>
      </c>
      <c r="Z3" s="1426"/>
      <c r="AA3" s="1416" t="s">
        <v>1366</v>
      </c>
      <c r="AB3" s="1427" t="s">
        <v>1366</v>
      </c>
      <c r="AC3" s="1416" t="s">
        <v>1367</v>
      </c>
      <c r="AD3" s="1427" t="s">
        <v>1367</v>
      </c>
      <c r="AF3" s="1418" t="s">
        <v>1364</v>
      </c>
      <c r="AH3" s="1417" t="s">
        <v>1368</v>
      </c>
      <c r="AI3" s="1417" t="s">
        <v>1369</v>
      </c>
      <c r="AK3" s="1417" t="s">
        <v>1370</v>
      </c>
      <c r="AM3" s="1417" t="s">
        <v>1371</v>
      </c>
      <c r="AP3" s="1428" t="s">
        <v>1372</v>
      </c>
      <c r="AQ3" s="1429" t="s">
        <v>1372</v>
      </c>
      <c r="AS3" s="1416" t="s">
        <v>1373</v>
      </c>
      <c r="AU3" s="1461" t="s">
        <v>1374</v>
      </c>
      <c r="AW3" s="1461" t="s">
        <v>1375</v>
      </c>
      <c r="AX3" s="1461" t="s">
        <v>1375</v>
      </c>
      <c r="AZ3" s="1461" t="s">
        <v>1376</v>
      </c>
      <c r="BB3" s="1461" t="s">
        <v>1377</v>
      </c>
      <c r="BC3" s="1461" t="s">
        <v>1351</v>
      </c>
      <c r="BE3" s="1461">
        <v>2001</v>
      </c>
      <c r="BF3" s="1461" t="s">
        <v>1378</v>
      </c>
      <c r="BH3" s="1408" t="s">
        <v>1379</v>
      </c>
      <c r="BJ3" s="1408" t="s">
        <v>1380</v>
      </c>
      <c r="BL3" s="1408" t="s">
        <v>1381</v>
      </c>
      <c r="BN3" s="1408" t="s">
        <v>1382</v>
      </c>
      <c r="BR3" s="1408" t="s">
        <v>1383</v>
      </c>
      <c r="BS3" s="1769"/>
      <c r="BT3" s="1411"/>
      <c r="BU3" s="1408" t="s">
        <v>1384</v>
      </c>
      <c r="BV3" s="1411"/>
      <c r="BW3" s="2031"/>
      <c r="BX3" s="2033" t="s">
        <v>1385</v>
      </c>
      <c r="CA3" s="1408" t="s">
        <v>1386</v>
      </c>
    </row>
    <row customHeight="1" ht="11.25">
      <c r="A4" s="1415" t="s">
        <v>1387</v>
      </c>
      <c r="B4" s="1416">
        <v>2002</v>
      </c>
      <c r="C4" s="1416">
        <v>2024</v>
      </c>
      <c r="E4" s="1417" t="s">
        <v>1388</v>
      </c>
      <c r="F4" s="1417" t="s">
        <v>1389</v>
      </c>
      <c r="H4" s="1418" t="s">
        <v>1390</v>
      </c>
      <c r="I4" s="1417" t="s">
        <v>90</v>
      </c>
      <c r="J4" s="1417" t="s">
        <v>1391</v>
      </c>
      <c r="K4" s="1419" t="s">
        <v>1392</v>
      </c>
      <c r="L4" s="1420">
        <f>_xlfn.IFERROR(MATCH(K4,OFFER_METHOD,0),0)</f>
        <v>0</v>
      </c>
      <c r="M4" s="1419">
        <v>3</v>
      </c>
      <c r="N4" s="1503" t="s">
        <v>1393</v>
      </c>
      <c r="O4" s="1417" t="s">
        <v>1394</v>
      </c>
      <c r="Q4" s="1422" t="s">
        <v>1395</v>
      </c>
      <c r="R4" s="484" t="s">
        <v>1396</v>
      </c>
      <c r="S4" s="484" t="s">
        <v>1397</v>
      </c>
      <c r="T4" s="1423" t="s">
        <v>1398</v>
      </c>
      <c r="U4" s="1420" t="s">
        <v>1399</v>
      </c>
      <c r="V4" s="1424">
        <v>3</v>
      </c>
      <c r="W4" s="1425"/>
      <c r="X4" s="1425" t="s">
        <v>1400</v>
      </c>
      <c r="Y4" s="1416" t="s">
        <v>1340</v>
      </c>
      <c r="Z4" s="1432"/>
      <c r="AC4" s="1416" t="s">
        <v>1401</v>
      </c>
      <c r="AD4" s="1427" t="s">
        <v>1401</v>
      </c>
      <c r="AF4" s="1418" t="s">
        <v>1399</v>
      </c>
      <c r="AH4" s="1418" t="s">
        <v>1402</v>
      </c>
      <c r="AK4" s="1417" t="s">
        <v>1403</v>
      </c>
      <c r="AM4" s="1417" t="s">
        <v>1404</v>
      </c>
      <c r="AP4" s="1428" t="s">
        <v>1365</v>
      </c>
      <c r="AQ4" s="1429" t="s">
        <v>1365</v>
      </c>
      <c r="AS4" s="1416" t="s">
        <v>1405</v>
      </c>
      <c r="AU4" s="1461" t="s">
        <v>1406</v>
      </c>
      <c r="AW4" s="1461" t="s">
        <v>1407</v>
      </c>
      <c r="AX4" s="1461" t="s">
        <v>1407</v>
      </c>
      <c r="AZ4" s="1461" t="s">
        <v>1408</v>
      </c>
      <c r="BB4" s="1461" t="s">
        <v>1409</v>
      </c>
      <c r="BC4" s="1461" t="s">
        <v>1410</v>
      </c>
      <c r="BE4" s="1461">
        <v>2002</v>
      </c>
      <c r="BF4" s="1461" t="s">
        <v>1411</v>
      </c>
      <c r="BH4" s="1409" t="s">
        <v>1412</v>
      </c>
      <c r="BJ4" s="1409" t="s">
        <v>1412</v>
      </c>
      <c r="BL4" s="1409" t="s">
        <v>1412</v>
      </c>
      <c r="BN4" s="1409" t="s">
        <v>1412</v>
      </c>
      <c r="BQ4" s="1773" t="s">
        <v>1413</v>
      </c>
      <c r="BR4" s="1500" t="s">
        <v>1414</v>
      </c>
      <c r="BS4" s="615"/>
      <c r="BT4" s="1773" t="s">
        <v>1415</v>
      </c>
      <c r="BU4" s="1500" t="s">
        <v>1416</v>
      </c>
      <c r="BV4" s="1411"/>
      <c r="BW4" s="2038" t="s">
        <v>1417</v>
      </c>
      <c r="BX4" s="2032" t="s">
        <v>1418</v>
      </c>
      <c r="BZ4" s="1773" t="s">
        <v>1419</v>
      </c>
      <c r="CA4" s="1500" t="s">
        <v>1420</v>
      </c>
    </row>
    <row customHeight="1" ht="11.25">
      <c r="A5" s="1415" t="s">
        <v>1421</v>
      </c>
      <c r="B5" s="1416">
        <v>2003</v>
      </c>
      <c r="C5" s="1416">
        <v>2025</v>
      </c>
      <c r="E5" s="1417" t="s">
        <v>1422</v>
      </c>
      <c r="F5" s="1417" t="s">
        <v>1423</v>
      </c>
      <c r="H5" s="1418" t="s">
        <v>1424</v>
      </c>
      <c r="I5" s="1417" t="s">
        <v>91</v>
      </c>
      <c r="K5" s="1419" t="s">
        <v>1425</v>
      </c>
      <c r="L5" s="1420">
        <f>_xlfn.IFERROR(MATCH(K5,OFFER_METHOD,0),0)</f>
        <v>0</v>
      </c>
      <c r="M5" s="1419">
        <v>4</v>
      </c>
      <c r="N5" s="1433" t="s">
        <v>1426</v>
      </c>
      <c r="O5" s="1417" t="s">
        <v>1427</v>
      </c>
      <c r="Q5" s="1422" t="s">
        <v>1428</v>
      </c>
      <c r="R5" s="484" t="s">
        <v>1429</v>
      </c>
      <c r="T5" s="1418" t="s">
        <v>1430</v>
      </c>
      <c r="U5" s="1420" t="s">
        <v>1431</v>
      </c>
      <c r="V5" s="1424">
        <v>4</v>
      </c>
      <c r="W5" s="1425"/>
      <c r="X5" s="1425" t="s">
        <v>204</v>
      </c>
      <c r="Y5" s="1416" t="s">
        <v>1432</v>
      </c>
      <c r="Z5" s="1432">
        <v>1</v>
      </c>
      <c r="AF5" s="1418" t="s">
        <v>1433</v>
      </c>
      <c r="AH5" s="1417" t="s">
        <v>1434</v>
      </c>
      <c r="AK5" s="1417" t="s">
        <v>1435</v>
      </c>
      <c r="AM5" s="1417" t="s">
        <v>1436</v>
      </c>
      <c r="AP5" s="1428" t="s">
        <v>204</v>
      </c>
      <c r="AQ5" s="1429" t="s">
        <v>204</v>
      </c>
      <c r="AU5" s="1461" t="s">
        <v>1437</v>
      </c>
      <c r="AW5" s="1461" t="s">
        <v>1438</v>
      </c>
      <c r="AX5" s="1461" t="s">
        <v>1438</v>
      </c>
      <c r="AZ5" s="1461" t="s">
        <v>1439</v>
      </c>
      <c r="BB5" s="1461" t="s">
        <v>1440</v>
      </c>
      <c r="BC5" s="1461" t="s">
        <v>1441</v>
      </c>
      <c r="BE5" s="1461">
        <v>2003</v>
      </c>
      <c r="BF5" s="1461" t="s">
        <v>1442</v>
      </c>
      <c r="BH5" s="1409" t="s">
        <v>1443</v>
      </c>
      <c r="BJ5" s="1409" t="s">
        <v>1443</v>
      </c>
      <c r="BL5" s="1409" t="s">
        <v>1443</v>
      </c>
      <c r="BN5" s="1409" t="s">
        <v>1444</v>
      </c>
      <c r="BQ5" s="1622">
        <v>4213775</v>
      </c>
      <c r="BR5" s="1409" t="s">
        <v>1339</v>
      </c>
      <c r="BS5" s="1770"/>
      <c r="BT5" s="1622">
        <v>64236871</v>
      </c>
      <c r="BU5" s="1409" t="s">
        <v>341</v>
      </c>
      <c r="BV5" s="1411"/>
      <c r="BW5" s="2036">
        <v>4213767</v>
      </c>
      <c r="BX5" s="2034" t="s">
        <v>1445</v>
      </c>
      <c r="BZ5" s="1622">
        <v>64237509</v>
      </c>
      <c r="CA5" s="1636" t="s">
        <v>1446</v>
      </c>
    </row>
    <row customHeight="1" ht="11.25">
      <c r="A6" s="1415" t="s">
        <v>1447</v>
      </c>
      <c r="B6" s="1416">
        <v>2004</v>
      </c>
      <c r="C6" s="1416">
        <v>2026</v>
      </c>
      <c r="E6" s="1417" t="s">
        <v>1448</v>
      </c>
      <c r="F6" s="1434"/>
      <c r="H6" s="1418" t="s">
        <v>1449</v>
      </c>
      <c r="I6" s="1417" t="s">
        <v>116</v>
      </c>
      <c r="J6" s="1408" t="s">
        <v>1450</v>
      </c>
      <c r="L6" s="1420">
        <f>SUM(kind_of_control_method_filter)</f>
        <v>28</v>
      </c>
      <c r="N6" s="1433" t="s">
        <v>1451</v>
      </c>
      <c r="O6" s="1417" t="s">
        <v>1452</v>
      </c>
      <c r="R6" s="484" t="s">
        <v>607</v>
      </c>
      <c r="T6" s="1418" t="s">
        <v>1453</v>
      </c>
      <c r="U6" s="1420" t="s">
        <v>1433</v>
      </c>
      <c r="V6" s="1424">
        <v>5</v>
      </c>
      <c r="W6" s="1425"/>
      <c r="X6" s="1416" t="s">
        <v>210</v>
      </c>
      <c r="Y6" s="1416" t="s">
        <v>1454</v>
      </c>
      <c r="Z6" s="1432"/>
      <c r="AA6" s="1435"/>
      <c r="AH6" s="1417" t="s">
        <v>1455</v>
      </c>
      <c r="AK6" s="1417" t="s">
        <v>1456</v>
      </c>
      <c r="AM6" s="1417" t="s">
        <v>1457</v>
      </c>
      <c r="AP6" s="1428" t="s">
        <v>210</v>
      </c>
      <c r="AQ6" s="1429" t="s">
        <v>210</v>
      </c>
      <c r="AU6" s="1461" t="s">
        <v>1458</v>
      </c>
      <c r="AW6" s="1461" t="s">
        <v>1459</v>
      </c>
      <c r="AX6" s="1461" t="s">
        <v>1459</v>
      </c>
      <c r="BB6" s="1461" t="s">
        <v>1460</v>
      </c>
      <c r="BC6" s="1461" t="s">
        <v>1441</v>
      </c>
      <c r="BE6" s="1461">
        <v>2004</v>
      </c>
      <c r="BF6" s="1461" t="s">
        <v>1461</v>
      </c>
      <c r="BH6" s="1409" t="s">
        <v>1462</v>
      </c>
      <c r="BJ6" s="1409" t="s">
        <v>1463</v>
      </c>
      <c r="BL6" s="1409" t="s">
        <v>1463</v>
      </c>
      <c r="BN6" s="1409" t="s">
        <v>1464</v>
      </c>
      <c r="BQ6" s="1622">
        <v>4213784</v>
      </c>
      <c r="BR6" s="1636" t="s">
        <v>1372</v>
      </c>
      <c r="BS6" s="1771"/>
      <c r="BT6" s="1622">
        <v>64236872</v>
      </c>
      <c r="BU6" s="1409" t="s">
        <v>348</v>
      </c>
      <c r="BV6" s="1411"/>
      <c r="BW6" s="2036">
        <v>4213768</v>
      </c>
      <c r="BX6" s="2034" t="s">
        <v>368</v>
      </c>
      <c r="BZ6" s="1622">
        <v>64237510</v>
      </c>
      <c r="CA6" s="1409" t="s">
        <v>1465</v>
      </c>
    </row>
    <row customHeight="1" ht="11.25">
      <c r="A7" s="1415" t="s">
        <v>1466</v>
      </c>
      <c r="B7" s="1416">
        <v>2005</v>
      </c>
      <c r="E7" s="1417" t="s">
        <v>1467</v>
      </c>
      <c r="F7" s="1434"/>
      <c r="H7" s="1418" t="s">
        <v>1468</v>
      </c>
      <c r="I7" s="1417" t="s">
        <v>92</v>
      </c>
      <c r="J7" s="1417" t="s">
        <v>1469</v>
      </c>
      <c r="N7" s="1437" t="s">
        <v>1470</v>
      </c>
      <c r="O7" s="1417" t="s">
        <v>1471</v>
      </c>
      <c r="U7" s="1420" t="s">
        <v>19</v>
      </c>
      <c r="V7" s="711" t="s">
        <v>92</v>
      </c>
      <c r="W7" s="1425"/>
      <c r="X7" s="1416" t="s">
        <v>216</v>
      </c>
      <c r="Y7" s="1416" t="s">
        <v>1432</v>
      </c>
      <c r="Z7" s="1432"/>
      <c r="AA7" s="1435"/>
      <c r="AH7" s="1417" t="s">
        <v>1472</v>
      </c>
      <c r="AK7" s="1417" t="s">
        <v>1473</v>
      </c>
      <c r="AM7" s="1417" t="s">
        <v>1474</v>
      </c>
      <c r="AP7" s="1428" t="s">
        <v>216</v>
      </c>
      <c r="AQ7" s="1429" t="s">
        <v>216</v>
      </c>
      <c r="AU7" s="1461" t="s">
        <v>1475</v>
      </c>
      <c r="AW7" s="1461" t="s">
        <v>1476</v>
      </c>
      <c r="AX7" s="1461" t="s">
        <v>1476</v>
      </c>
      <c r="AZ7" s="1408" t="s">
        <v>1477</v>
      </c>
      <c r="BB7" s="1461" t="s">
        <v>1478</v>
      </c>
      <c r="BC7" s="1461" t="s">
        <v>1441</v>
      </c>
      <c r="BE7" s="1461">
        <v>2005</v>
      </c>
      <c r="BF7" s="1461" t="s">
        <v>1479</v>
      </c>
      <c r="BH7" s="1409" t="s">
        <v>1480</v>
      </c>
      <c r="BJ7" s="1409" t="s">
        <v>1462</v>
      </c>
      <c r="BL7" s="1409" t="s">
        <v>1462</v>
      </c>
      <c r="BN7" s="1409" t="s">
        <v>1481</v>
      </c>
      <c r="BQ7" s="1622">
        <v>4213781</v>
      </c>
      <c r="BR7" s="1409" t="s">
        <v>1365</v>
      </c>
      <c r="BS7" s="1770"/>
      <c r="BT7" s="1622">
        <v>64236873</v>
      </c>
      <c r="BU7" s="1409" t="s">
        <v>353</v>
      </c>
      <c r="BV7" s="1411"/>
      <c r="BW7" s="2036">
        <v>4213769</v>
      </c>
      <c r="BX7" s="2034" t="s">
        <v>1482</v>
      </c>
      <c r="BZ7" s="1622">
        <v>64237511</v>
      </c>
      <c r="CA7" s="1409" t="s">
        <v>383</v>
      </c>
    </row>
    <row customHeight="1" ht="11.25">
      <c r="A8" s="1415" t="s">
        <v>1483</v>
      </c>
      <c r="B8" s="1416">
        <v>2006</v>
      </c>
      <c r="E8" s="1417" t="s">
        <v>1484</v>
      </c>
      <c r="F8" s="1434"/>
      <c r="H8" s="1418" t="s">
        <v>1485</v>
      </c>
      <c r="I8" s="1417" t="s">
        <v>93</v>
      </c>
      <c r="J8" s="1417" t="s">
        <v>1486</v>
      </c>
      <c r="N8" s="1504" t="s">
        <v>1487</v>
      </c>
      <c r="O8" s="1417" t="s">
        <v>1488</v>
      </c>
      <c r="V8" s="711" t="s">
        <v>93</v>
      </c>
      <c r="W8" s="1425"/>
      <c r="X8" s="1416" t="s">
        <v>222</v>
      </c>
      <c r="Y8" s="1416" t="s">
        <v>1432</v>
      </c>
      <c r="Z8" s="1432"/>
      <c r="AA8" s="1435"/>
      <c r="AK8" s="1417" t="s">
        <v>1489</v>
      </c>
      <c r="AP8" s="1428" t="s">
        <v>222</v>
      </c>
      <c r="AQ8" s="1429" t="s">
        <v>222</v>
      </c>
      <c r="AU8" s="1461" t="s">
        <v>1490</v>
      </c>
      <c r="AW8" s="1461" t="s">
        <v>1491</v>
      </c>
      <c r="AX8" s="1461" t="s">
        <v>1491</v>
      </c>
      <c r="AZ8" s="1461" t="s">
        <v>1492</v>
      </c>
      <c r="BB8" s="1461" t="s">
        <v>1493</v>
      </c>
      <c r="BC8" s="1461" t="s">
        <v>1441</v>
      </c>
      <c r="BE8" s="1461">
        <v>2006</v>
      </c>
      <c r="BF8" s="1461" t="s">
        <v>1494</v>
      </c>
      <c r="BH8" s="1409" t="s">
        <v>1495</v>
      </c>
      <c r="BJ8" s="1409" t="s">
        <v>1496</v>
      </c>
      <c r="BL8" s="1409" t="s">
        <v>1496</v>
      </c>
      <c r="BN8" s="1409" t="s">
        <v>1497</v>
      </c>
      <c r="BQ8" s="1622">
        <v>4213776</v>
      </c>
      <c r="BR8" s="1409" t="s">
        <v>204</v>
      </c>
      <c r="BS8" s="1770"/>
      <c r="BT8" s="1622">
        <v>64236874</v>
      </c>
      <c r="BU8" s="1636" t="s">
        <v>1498</v>
      </c>
      <c r="BV8" s="1411"/>
      <c r="BW8" s="2036">
        <v>4213770</v>
      </c>
      <c r="BX8" s="2037" t="s">
        <v>1499</v>
      </c>
      <c r="BZ8" s="1622">
        <v>64237512</v>
      </c>
      <c r="CA8" s="1409" t="s">
        <v>378</v>
      </c>
    </row>
    <row customHeight="1" ht="11.25">
      <c r="A9" s="1415" t="s">
        <v>1500</v>
      </c>
      <c r="B9" s="1416">
        <v>2007</v>
      </c>
      <c r="E9" s="1417" t="s">
        <v>1501</v>
      </c>
      <c r="F9" s="1434"/>
      <c r="G9" s="1408" t="s">
        <v>1502</v>
      </c>
      <c r="H9" s="1408" t="s">
        <v>1503</v>
      </c>
      <c r="I9" s="1417" t="s">
        <v>129</v>
      </c>
      <c r="O9" s="1417" t="s">
        <v>1504</v>
      </c>
      <c r="V9" s="711" t="s">
        <v>129</v>
      </c>
      <c r="W9" s="1425"/>
      <c r="X9" s="1416" t="s">
        <v>228</v>
      </c>
      <c r="Y9" s="1416" t="s">
        <v>1340</v>
      </c>
      <c r="Z9" s="1432">
        <v>1</v>
      </c>
      <c r="AA9" s="1435"/>
      <c r="AK9" s="1417" t="s">
        <v>1505</v>
      </c>
      <c r="AP9" s="1428" t="s">
        <v>1506</v>
      </c>
      <c r="AQ9" s="1429" t="s">
        <v>1506</v>
      </c>
      <c r="AW9" s="1461" t="s">
        <v>1507</v>
      </c>
      <c r="AX9" s="1461" t="s">
        <v>1507</v>
      </c>
      <c r="AZ9" s="1461" t="s">
        <v>1508</v>
      </c>
      <c r="BB9" s="1461" t="s">
        <v>1509</v>
      </c>
      <c r="BC9" s="1461" t="s">
        <v>1441</v>
      </c>
      <c r="BE9" s="1461">
        <v>2007</v>
      </c>
      <c r="BF9" s="1461" t="s">
        <v>1510</v>
      </c>
      <c r="BH9" s="1409" t="s">
        <v>1511</v>
      </c>
      <c r="BJ9" s="1409" t="s">
        <v>1512</v>
      </c>
      <c r="BL9" s="1409" t="s">
        <v>1512</v>
      </c>
      <c r="BN9" s="1409" t="s">
        <v>1513</v>
      </c>
      <c r="BQ9" s="1622">
        <v>4213777</v>
      </c>
      <c r="BR9" s="1409" t="s">
        <v>210</v>
      </c>
      <c r="BS9" s="1770"/>
      <c r="BT9" s="1622">
        <v>64236875</v>
      </c>
      <c r="BU9" s="1409" t="s">
        <v>358</v>
      </c>
      <c r="BV9" s="1411"/>
      <c r="BW9" s="2031"/>
      <c r="BX9" s="2031"/>
    </row>
    <row customHeight="1" ht="11.25">
      <c r="A10" s="1415" t="s">
        <v>1514</v>
      </c>
      <c r="B10" s="1416">
        <v>2008</v>
      </c>
      <c r="E10" s="1417" t="s">
        <v>1515</v>
      </c>
      <c r="F10" s="1434"/>
      <c r="G10" s="1417" t="s">
        <v>1516</v>
      </c>
      <c r="H10" s="1417" t="s">
        <v>1517</v>
      </c>
      <c r="I10" s="1417" t="s">
        <v>134</v>
      </c>
      <c r="J10" s="1408" t="s">
        <v>1518</v>
      </c>
      <c r="K10" s="1408" t="s">
        <v>1519</v>
      </c>
      <c r="O10" s="1417" t="s">
        <v>1520</v>
      </c>
      <c r="V10" s="712" t="s">
        <v>134</v>
      </c>
      <c r="W10" s="1438"/>
      <c r="X10" s="1438" t="s">
        <v>1521</v>
      </c>
      <c r="Y10" s="1439" t="s">
        <v>1522</v>
      </c>
      <c r="Z10" s="1432"/>
      <c r="AP10" s="1428" t="s">
        <v>1521</v>
      </c>
      <c r="AQ10" s="1429" t="s">
        <v>1521</v>
      </c>
      <c r="AW10" s="1461" t="s">
        <v>1523</v>
      </c>
      <c r="AX10" s="1461" t="s">
        <v>1523</v>
      </c>
      <c r="AZ10" s="1461" t="s">
        <v>1524</v>
      </c>
      <c r="BB10" s="1461" t="s">
        <v>1525</v>
      </c>
      <c r="BC10" s="1461" t="s">
        <v>1441</v>
      </c>
      <c r="BE10" s="1461">
        <v>2008</v>
      </c>
      <c r="BF10" s="1461" t="s">
        <v>1526</v>
      </c>
      <c r="BH10" s="1409" t="s">
        <v>1527</v>
      </c>
      <c r="BJ10" s="1409" t="s">
        <v>1528</v>
      </c>
      <c r="BL10" s="1409" t="s">
        <v>1528</v>
      </c>
      <c r="BN10" s="1409" t="s">
        <v>1529</v>
      </c>
      <c r="BQ10" s="1622">
        <v>4213778</v>
      </c>
      <c r="BR10" s="1409" t="s">
        <v>216</v>
      </c>
      <c r="BS10" s="1770"/>
      <c r="BT10" s="1622">
        <v>64236876</v>
      </c>
      <c r="BU10" s="1409" t="s">
        <v>260</v>
      </c>
      <c r="BV10" s="1411"/>
      <c r="BW10" s="2031"/>
      <c r="BX10" s="2031"/>
    </row>
    <row customHeight="1" ht="11.25">
      <c r="A11" s="1415" t="s">
        <v>1530</v>
      </c>
      <c r="B11" s="1416">
        <v>2009</v>
      </c>
      <c r="E11" s="1417" t="s">
        <v>1531</v>
      </c>
      <c r="F11" s="1434"/>
      <c r="G11" s="1417" t="s">
        <v>1532</v>
      </c>
      <c r="H11" s="1417" t="s">
        <v>1533</v>
      </c>
      <c r="I11" s="1417" t="s">
        <v>138</v>
      </c>
      <c r="J11" s="1418" t="s">
        <v>1534</v>
      </c>
      <c r="K11" s="1440" t="s">
        <v>1535</v>
      </c>
      <c r="O11" s="1418" t="s">
        <v>1536</v>
      </c>
      <c r="V11" s="711" t="s">
        <v>138</v>
      </c>
      <c r="W11" s="616"/>
      <c r="X11" s="1425" t="s">
        <v>1506</v>
      </c>
      <c r="Y11" s="1416" t="s">
        <v>1537</v>
      </c>
      <c r="Z11" s="1432"/>
      <c r="AP11" s="1428" t="s">
        <v>228</v>
      </c>
      <c r="AQ11" s="1430" t="s">
        <v>228</v>
      </c>
      <c r="AW11" s="1461" t="s">
        <v>1538</v>
      </c>
      <c r="AX11" s="1461" t="s">
        <v>1538</v>
      </c>
      <c r="AZ11" s="1461" t="s">
        <v>1539</v>
      </c>
      <c r="BB11" s="1461" t="s">
        <v>1540</v>
      </c>
      <c r="BC11" s="1461" t="s">
        <v>1441</v>
      </c>
      <c r="BE11" s="1461">
        <v>2009</v>
      </c>
      <c r="BF11" s="1461" t="s">
        <v>1541</v>
      </c>
      <c r="BH11" s="1409" t="s">
        <v>1542</v>
      </c>
      <c r="BJ11" s="1409" t="s">
        <v>1511</v>
      </c>
      <c r="BL11" s="1409" t="s">
        <v>1511</v>
      </c>
      <c r="BN11" s="1409" t="s">
        <v>1543</v>
      </c>
      <c r="BQ11" s="1622">
        <v>4213780</v>
      </c>
      <c r="BR11" s="1409" t="s">
        <v>222</v>
      </c>
      <c r="BS11" s="1770"/>
      <c r="BW11" s="2031"/>
      <c r="BX11" s="2031"/>
    </row>
    <row customHeight="1" ht="11.25">
      <c r="A12" s="1415" t="s">
        <v>1544</v>
      </c>
      <c r="B12" s="1416">
        <v>2010</v>
      </c>
      <c r="E12" s="1417" t="s">
        <v>1545</v>
      </c>
      <c r="F12" s="1434"/>
      <c r="G12" s="1417" t="s">
        <v>1533</v>
      </c>
      <c r="I12" s="1417" t="s">
        <v>143</v>
      </c>
      <c r="J12" s="1418" t="s">
        <v>1546</v>
      </c>
      <c r="K12" s="1440" t="s">
        <v>1547</v>
      </c>
      <c r="O12" s="1418" t="s">
        <v>607</v>
      </c>
      <c r="V12" s="711" t="s">
        <v>143</v>
      </c>
      <c r="W12" s="1430"/>
      <c r="X12" s="1425" t="s">
        <v>1548</v>
      </c>
      <c r="Y12" s="1416" t="s">
        <v>1340</v>
      </c>
      <c r="AP12" s="1428"/>
      <c r="AW12" s="1461" t="s">
        <v>138</v>
      </c>
      <c r="AX12" s="1461" t="s">
        <v>138</v>
      </c>
      <c r="AZ12" s="1461" t="s">
        <v>1549</v>
      </c>
      <c r="BB12" s="1461" t="s">
        <v>1550</v>
      </c>
      <c r="BC12" s="1461" t="s">
        <v>1441</v>
      </c>
      <c r="BE12" s="1461">
        <v>2010</v>
      </c>
      <c r="BF12" s="1461" t="s">
        <v>1551</v>
      </c>
      <c r="BH12" s="1409" t="s">
        <v>1552</v>
      </c>
      <c r="BJ12" s="1409" t="s">
        <v>1553</v>
      </c>
      <c r="BL12" s="1409" t="s">
        <v>1553</v>
      </c>
      <c r="BN12" s="1409" t="s">
        <v>1554</v>
      </c>
      <c r="BQ12" s="1622">
        <v>4213779</v>
      </c>
      <c r="BR12" s="1409" t="s">
        <v>1506</v>
      </c>
      <c r="BS12" s="1770"/>
      <c r="BT12" s="1411"/>
      <c r="BU12" s="1411"/>
      <c r="BV12" s="1411"/>
      <c r="BW12" s="2031"/>
      <c r="BX12" s="2031"/>
    </row>
    <row customHeight="1" ht="11.25">
      <c r="A13" s="1415" t="s">
        <v>1555</v>
      </c>
      <c r="B13" s="1416">
        <v>2011</v>
      </c>
      <c r="E13" s="1417" t="s">
        <v>1556</v>
      </c>
      <c r="F13" s="1434"/>
      <c r="I13" s="1417" t="s">
        <v>189</v>
      </c>
      <c r="K13" s="1440" t="s">
        <v>1505</v>
      </c>
      <c r="V13" s="711" t="s">
        <v>189</v>
      </c>
      <c r="W13" s="1430"/>
      <c r="X13" s="1430"/>
      <c r="Y13" s="1430"/>
      <c r="AW13" s="1461" t="s">
        <v>143</v>
      </c>
      <c r="AX13" s="1461" t="s">
        <v>143</v>
      </c>
      <c r="BB13" s="1461" t="s">
        <v>1557</v>
      </c>
      <c r="BC13" s="1461" t="s">
        <v>1558</v>
      </c>
      <c r="BE13" s="1461">
        <v>2011</v>
      </c>
      <c r="BF13" s="1461" t="s">
        <v>1559</v>
      </c>
      <c r="BH13" s="1409" t="s">
        <v>1560</v>
      </c>
      <c r="BJ13" s="1409" t="s">
        <v>1542</v>
      </c>
      <c r="BL13" s="1409" t="s">
        <v>1542</v>
      </c>
      <c r="BN13" s="1409" t="s">
        <v>1561</v>
      </c>
      <c r="BQ13" s="1622">
        <v>4213783</v>
      </c>
      <c r="BR13" s="1409" t="s">
        <v>1521</v>
      </c>
      <c r="BS13" s="1770"/>
      <c r="BT13" s="1411"/>
      <c r="BU13" s="1411"/>
      <c r="BV13" s="1411"/>
      <c r="BW13" s="2035"/>
      <c r="BX13" s="2031"/>
    </row>
    <row customHeight="1" ht="11.25">
      <c r="A14" s="1415" t="s">
        <v>1562</v>
      </c>
      <c r="B14" s="1416">
        <v>2012</v>
      </c>
      <c r="I14" s="1417" t="s">
        <v>190</v>
      </c>
      <c r="J14" s="1408" t="s">
        <v>1563</v>
      </c>
      <c r="N14" s="1408" t="s">
        <v>1564</v>
      </c>
      <c r="V14" s="1424">
        <v>13</v>
      </c>
      <c r="W14" s="1425"/>
      <c r="X14" s="1425" t="s">
        <v>1372</v>
      </c>
      <c r="Y14" s="1416" t="s">
        <v>1340</v>
      </c>
      <c r="AW14" s="1461" t="s">
        <v>189</v>
      </c>
      <c r="AX14" s="1461" t="s">
        <v>189</v>
      </c>
      <c r="AZ14" s="1408" t="s">
        <v>1565</v>
      </c>
      <c r="BB14" s="1461" t="s">
        <v>1566</v>
      </c>
      <c r="BC14" s="1461" t="s">
        <v>1558</v>
      </c>
      <c r="BE14" s="1461">
        <v>2012</v>
      </c>
      <c r="BH14" s="1409" t="s">
        <v>1481</v>
      </c>
      <c r="BJ14" s="1558" t="s">
        <v>1567</v>
      </c>
      <c r="BL14" s="1558" t="s">
        <v>1567</v>
      </c>
      <c r="BN14" s="1409" t="s">
        <v>1568</v>
      </c>
      <c r="BQ14" s="1622">
        <v>4213782</v>
      </c>
      <c r="BR14" s="1409" t="s">
        <v>228</v>
      </c>
      <c r="BS14" s="1770"/>
      <c r="BT14" s="1411"/>
      <c r="BU14" s="1411"/>
      <c r="BV14" s="1411"/>
      <c r="BW14" s="2035"/>
      <c r="BX14" s="2031"/>
    </row>
    <row customHeight="1" ht="19.5">
      <c r="A15" s="1415" t="s">
        <v>1569</v>
      </c>
      <c r="B15" s="1416">
        <v>2013</v>
      </c>
      <c r="E15" s="2039" t="s">
        <v>1570</v>
      </c>
      <c r="G15" s="1408" t="s">
        <v>1571</v>
      </c>
      <c r="H15" s="1408" t="s">
        <v>1572</v>
      </c>
      <c r="I15" s="1419" t="s">
        <v>191</v>
      </c>
      <c r="J15" s="1430" t="s">
        <v>695</v>
      </c>
      <c r="N15" s="1499" t="s">
        <v>1573</v>
      </c>
      <c r="X15" s="1428"/>
      <c r="AW15" s="1461" t="s">
        <v>190</v>
      </c>
      <c r="AX15" s="1461" t="s">
        <v>190</v>
      </c>
      <c r="AZ15" s="1461" t="s">
        <v>1492</v>
      </c>
      <c r="BB15" s="1461" t="s">
        <v>1574</v>
      </c>
      <c r="BC15" s="1461" t="s">
        <v>1558</v>
      </c>
      <c r="BE15" s="1461">
        <v>2013</v>
      </c>
      <c r="BH15" s="1409" t="s">
        <v>1497</v>
      </c>
      <c r="BJ15" s="1558" t="s">
        <v>1575</v>
      </c>
      <c r="BL15" s="1558" t="s">
        <v>1575</v>
      </c>
      <c r="BN15" s="1409" t="s">
        <v>1576</v>
      </c>
      <c r="BR15" s="1411"/>
      <c r="BS15" s="1772"/>
      <c r="BT15" s="1411"/>
      <c r="BU15" s="1411"/>
      <c r="BV15" s="1411"/>
      <c r="BW15" s="2035"/>
      <c r="BX15" s="2031"/>
    </row>
    <row customHeight="1" ht="21">
      <c r="A16" s="2211" t="s">
        <v>1577</v>
      </c>
      <c r="B16" s="1416">
        <v>2014</v>
      </c>
      <c r="E16" s="2040" t="s">
        <v>1578</v>
      </c>
      <c r="G16" s="1417" t="s">
        <v>1579</v>
      </c>
      <c r="H16" s="1417" t="s">
        <v>1580</v>
      </c>
      <c r="I16" s="1419" t="s">
        <v>1581</v>
      </c>
      <c r="J16" s="1430" t="s">
        <v>668</v>
      </c>
      <c r="N16" s="1499" t="s">
        <v>1582</v>
      </c>
      <c r="AW16" s="1461" t="s">
        <v>191</v>
      </c>
      <c r="AX16" s="1461" t="s">
        <v>191</v>
      </c>
      <c r="AZ16" s="1461" t="s">
        <v>1508</v>
      </c>
      <c r="BB16" s="1461" t="s">
        <v>1583</v>
      </c>
      <c r="BC16" s="1461" t="s">
        <v>1558</v>
      </c>
      <c r="BE16" s="1461">
        <v>2014</v>
      </c>
      <c r="BH16" s="1409" t="s">
        <v>1513</v>
      </c>
      <c r="BJ16" s="1558" t="s">
        <v>1584</v>
      </c>
      <c r="BL16" s="1558" t="s">
        <v>1584</v>
      </c>
      <c r="BN16" s="1409" t="s">
        <v>1585</v>
      </c>
      <c r="BR16" s="1411"/>
      <c r="BS16" s="1772"/>
      <c r="BT16" s="1411"/>
      <c r="BU16" s="1411"/>
      <c r="BV16" s="1411"/>
      <c r="BW16" s="2035"/>
      <c r="BX16" s="2031"/>
    </row>
    <row customHeight="1" ht="21">
      <c r="A17" s="1415" t="s">
        <v>1586</v>
      </c>
      <c r="B17" s="1416">
        <v>2015</v>
      </c>
      <c r="G17" s="1417" t="s">
        <v>1533</v>
      </c>
      <c r="H17" s="1417" t="s">
        <v>1533</v>
      </c>
      <c r="I17" s="1417" t="s">
        <v>118</v>
      </c>
      <c r="N17" s="1499" t="s">
        <v>1587</v>
      </c>
      <c r="X17" s="1428"/>
      <c r="AW17" s="1461" t="s">
        <v>1581</v>
      </c>
      <c r="AX17" s="1461" t="s">
        <v>1581</v>
      </c>
      <c r="AZ17" s="1461" t="s">
        <v>1588</v>
      </c>
      <c r="BB17" s="1461" t="s">
        <v>1589</v>
      </c>
      <c r="BC17" s="1461" t="s">
        <v>1441</v>
      </c>
      <c r="BE17" s="1461">
        <v>2015</v>
      </c>
      <c r="BH17" s="1409" t="s">
        <v>1529</v>
      </c>
      <c r="BJ17" s="1558" t="s">
        <v>1590</v>
      </c>
      <c r="BL17" s="1558" t="s">
        <v>1590</v>
      </c>
      <c r="BN17" s="1409" t="s">
        <v>1591</v>
      </c>
      <c r="BR17" s="1408" t="s">
        <v>1383</v>
      </c>
      <c r="BS17" s="1769"/>
      <c r="BU17" s="1408" t="s">
        <v>1592</v>
      </c>
      <c r="BV17" s="1411"/>
      <c r="BW17" s="2031"/>
      <c r="BX17" s="2033" t="s">
        <v>1593</v>
      </c>
      <c r="CA17" s="1408" t="s">
        <v>1594</v>
      </c>
      <c r="CD17" s="1408" t="s">
        <v>1595</v>
      </c>
    </row>
    <row customHeight="1" ht="21">
      <c r="A18" s="1415" t="s">
        <v>1596</v>
      </c>
      <c r="B18" s="1416">
        <v>2016</v>
      </c>
      <c r="E18" s="2346" t="s">
        <v>1597</v>
      </c>
      <c r="I18" s="1417" t="s">
        <v>1598</v>
      </c>
      <c r="N18" s="1499" t="s">
        <v>1599</v>
      </c>
      <c r="X18" s="1428"/>
      <c r="AW18" s="1461" t="s">
        <v>118</v>
      </c>
      <c r="AX18" s="1461" t="s">
        <v>118</v>
      </c>
      <c r="BB18" s="1461" t="s">
        <v>1600</v>
      </c>
      <c r="BC18" s="1461" t="s">
        <v>1441</v>
      </c>
      <c r="BE18" s="1461">
        <v>2016</v>
      </c>
      <c r="BH18" s="1409" t="s">
        <v>1543</v>
      </c>
      <c r="BJ18" s="1558" t="s">
        <v>1601</v>
      </c>
      <c r="BL18" s="1558" t="s">
        <v>1601</v>
      </c>
      <c r="BN18" s="1409" t="s">
        <v>1602</v>
      </c>
      <c r="BQ18" s="1773" t="s">
        <v>1413</v>
      </c>
      <c r="BR18" s="1500" t="s">
        <v>1414</v>
      </c>
      <c r="BS18" s="615"/>
      <c r="BT18" s="1773" t="s">
        <v>1603</v>
      </c>
      <c r="BU18" s="1500" t="s">
        <v>1604</v>
      </c>
      <c r="BV18" s="1411"/>
      <c r="BW18" s="2038" t="s">
        <v>1605</v>
      </c>
      <c r="BX18" s="2032" t="s">
        <v>1606</v>
      </c>
      <c r="BZ18" s="1773" t="s">
        <v>1607</v>
      </c>
      <c r="CA18" s="1500" t="s">
        <v>1608</v>
      </c>
      <c r="CC18" s="1773" t="s">
        <v>1609</v>
      </c>
      <c r="CD18" s="1500" t="s">
        <v>1610</v>
      </c>
    </row>
    <row customHeight="1" ht="21">
      <c r="A19" s="2211" t="s">
        <v>1611</v>
      </c>
      <c r="B19" s="1416">
        <v>2017</v>
      </c>
      <c r="E19" s="1415" t="s">
        <v>203</v>
      </c>
      <c r="I19" s="1417" t="s">
        <v>1612</v>
      </c>
      <c r="N19" s="1499" t="s">
        <v>1613</v>
      </c>
      <c r="X19" s="1428"/>
      <c r="AW19" s="1461" t="s">
        <v>1598</v>
      </c>
      <c r="AX19" s="1461" t="s">
        <v>1598</v>
      </c>
      <c r="AZ19" s="1408" t="s">
        <v>1614</v>
      </c>
      <c r="BB19" s="1461" t="s">
        <v>1615</v>
      </c>
      <c r="BC19" s="1461" t="s">
        <v>1441</v>
      </c>
      <c r="BE19" s="1461">
        <v>2017</v>
      </c>
      <c r="BH19" s="1409" t="s">
        <v>1616</v>
      </c>
      <c r="BJ19" s="1558" t="s">
        <v>1617</v>
      </c>
      <c r="BL19" s="1558" t="s">
        <v>1617</v>
      </c>
      <c r="BQ19" s="1622">
        <v>4190064</v>
      </c>
      <c r="BR19" s="1409" t="s">
        <v>1618</v>
      </c>
      <c r="BS19" s="1770"/>
      <c r="BT19" s="1622">
        <v>4189671</v>
      </c>
      <c r="BU19" s="1409" t="s">
        <v>1619</v>
      </c>
      <c r="BV19" s="1411"/>
      <c r="BW19" s="2036">
        <v>4189706</v>
      </c>
      <c r="BX19" s="2034" t="s">
        <v>1620</v>
      </c>
      <c r="BZ19" s="1622">
        <v>4189714</v>
      </c>
      <c r="CA19" s="1409" t="s">
        <v>1621</v>
      </c>
      <c r="CC19" s="1622">
        <v>4189708</v>
      </c>
      <c r="CD19" s="1409" t="s">
        <v>1622</v>
      </c>
    </row>
    <row customHeight="1" ht="21">
      <c r="A20" s="1415" t="s">
        <v>1623</v>
      </c>
      <c r="B20" s="1416">
        <v>2018</v>
      </c>
      <c r="E20" s="1415" t="s">
        <v>1372</v>
      </c>
      <c r="I20" s="1417" t="s">
        <v>1624</v>
      </c>
      <c r="N20" s="1499" t="s">
        <v>1625</v>
      </c>
      <c r="AW20" s="1461" t="s">
        <v>1612</v>
      </c>
      <c r="AX20" s="1461" t="s">
        <v>1612</v>
      </c>
      <c r="AZ20" s="1461" t="s">
        <v>1626</v>
      </c>
      <c r="BB20" s="1461" t="s">
        <v>1627</v>
      </c>
      <c r="BC20" s="1461" t="s">
        <v>1558</v>
      </c>
      <c r="BE20" s="1461">
        <v>2018</v>
      </c>
      <c r="BH20" s="1409" t="s">
        <v>1554</v>
      </c>
      <c r="BJ20" s="1409" t="s">
        <v>1481</v>
      </c>
      <c r="BL20" s="1409" t="s">
        <v>1481</v>
      </c>
      <c r="BQ20" s="1622">
        <v>4190065</v>
      </c>
      <c r="BR20" s="1409" t="s">
        <v>1628</v>
      </c>
      <c r="BS20" s="1770"/>
      <c r="BT20" s="1622">
        <v>4189672</v>
      </c>
      <c r="BU20" s="1409" t="s">
        <v>1629</v>
      </c>
      <c r="BV20" s="1411"/>
      <c r="BW20" s="2036">
        <v>4189705</v>
      </c>
      <c r="BX20" s="2034" t="s">
        <v>1630</v>
      </c>
      <c r="BZ20" s="1622">
        <v>4189713</v>
      </c>
      <c r="CA20" s="1409" t="s">
        <v>1630</v>
      </c>
      <c r="CC20" s="1622">
        <v>4189709</v>
      </c>
      <c r="CD20" s="1409" t="s">
        <v>1631</v>
      </c>
    </row>
    <row customHeight="1" ht="21">
      <c r="A21" s="1415" t="s">
        <v>1632</v>
      </c>
      <c r="B21" s="1416">
        <v>2019</v>
      </c>
      <c r="I21" s="1417" t="s">
        <v>1633</v>
      </c>
      <c r="N21" s="1499" t="s">
        <v>1634</v>
      </c>
      <c r="AW21" s="1461" t="s">
        <v>1624</v>
      </c>
      <c r="AX21" s="1461" t="s">
        <v>1624</v>
      </c>
      <c r="AZ21" s="1461" t="s">
        <v>1635</v>
      </c>
      <c r="BB21" s="1461" t="s">
        <v>1636</v>
      </c>
      <c r="BC21" s="1461" t="s">
        <v>1441</v>
      </c>
      <c r="BE21" s="1461">
        <v>2019</v>
      </c>
      <c r="BH21" s="1409" t="s">
        <v>1561</v>
      </c>
      <c r="BJ21" s="1409" t="s">
        <v>1497</v>
      </c>
      <c r="BL21" s="1409" t="s">
        <v>1497</v>
      </c>
      <c r="BQ21" s="1622">
        <v>4190066</v>
      </c>
      <c r="BR21" s="1409" t="s">
        <v>1637</v>
      </c>
      <c r="BS21" s="1770"/>
      <c r="BT21" s="1622">
        <v>4189673</v>
      </c>
      <c r="BU21" s="1409" t="s">
        <v>1638</v>
      </c>
      <c r="BV21" s="1411"/>
      <c r="BW21" s="2036">
        <v>4189707</v>
      </c>
      <c r="BX21" s="2034" t="s">
        <v>1639</v>
      </c>
      <c r="BZ21" s="1622">
        <v>4189712</v>
      </c>
      <c r="CA21" s="1409" t="s">
        <v>1640</v>
      </c>
      <c r="CC21" s="1622">
        <v>4189710</v>
      </c>
      <c r="CD21" s="1409" t="s">
        <v>1641</v>
      </c>
    </row>
    <row customHeight="1" ht="21">
      <c r="A22" s="1415" t="s">
        <v>1642</v>
      </c>
      <c r="B22" s="1416">
        <v>2020</v>
      </c>
      <c r="N22" s="1499" t="s">
        <v>1643</v>
      </c>
      <c r="AW22" s="1461" t="s">
        <v>1633</v>
      </c>
      <c r="AX22" s="1461" t="s">
        <v>1633</v>
      </c>
      <c r="AZ22" s="1461" t="s">
        <v>1644</v>
      </c>
      <c r="BB22" s="1461" t="s">
        <v>1645</v>
      </c>
      <c r="BC22" s="1461" t="s">
        <v>1441</v>
      </c>
      <c r="BE22" s="1461">
        <v>2020</v>
      </c>
      <c r="BH22" s="1409" t="s">
        <v>1568</v>
      </c>
      <c r="BJ22" s="1409" t="s">
        <v>1513</v>
      </c>
      <c r="BL22" s="1409" t="s">
        <v>1513</v>
      </c>
      <c r="BQ22" s="1622">
        <v>4190067</v>
      </c>
      <c r="BR22" s="1409" t="s">
        <v>1646</v>
      </c>
      <c r="BS22" s="1770"/>
      <c r="BT22" s="1622">
        <v>4189674</v>
      </c>
      <c r="BU22" s="1409" t="s">
        <v>1647</v>
      </c>
      <c r="BV22" s="1411"/>
      <c r="BW22" s="1411"/>
      <c r="CC22" s="1622">
        <v>4189711</v>
      </c>
      <c r="CD22" s="1409" t="s">
        <v>407</v>
      </c>
    </row>
    <row customHeight="1" ht="21">
      <c r="A23" s="1415" t="s">
        <v>1648</v>
      </c>
      <c r="B23" s="1416">
        <v>2021</v>
      </c>
      <c r="AW23" s="1461" t="s">
        <v>1649</v>
      </c>
      <c r="AX23" s="1461" t="s">
        <v>1649</v>
      </c>
      <c r="AZ23" s="1461" t="s">
        <v>1650</v>
      </c>
      <c r="BB23" s="1461" t="s">
        <v>1651</v>
      </c>
      <c r="BC23" s="1461" t="s">
        <v>1351</v>
      </c>
      <c r="BE23" s="1461">
        <v>2021</v>
      </c>
      <c r="BH23" s="1409" t="s">
        <v>1576</v>
      </c>
      <c r="BJ23" s="1409" t="s">
        <v>1529</v>
      </c>
      <c r="BL23" s="1409" t="s">
        <v>1529</v>
      </c>
      <c r="BQ23" s="1622">
        <v>4190068</v>
      </c>
      <c r="BR23" s="1409" t="s">
        <v>1652</v>
      </c>
      <c r="BS23" s="1770"/>
      <c r="BT23" s="1622">
        <v>4189675</v>
      </c>
      <c r="BU23" s="1409" t="s">
        <v>1653</v>
      </c>
      <c r="BV23" s="1411"/>
      <c r="BW23" s="1411"/>
      <c r="CC23" s="1622">
        <v>5110778</v>
      </c>
      <c r="CD23" s="1409" t="s">
        <v>1654</v>
      </c>
    </row>
    <row customHeight="1" ht="21">
      <c r="A24" s="1415" t="s">
        <v>1655</v>
      </c>
      <c r="B24" s="1416">
        <v>2022</v>
      </c>
      <c r="AW24" s="1461" t="s">
        <v>1656</v>
      </c>
      <c r="AX24" s="1461" t="s">
        <v>1656</v>
      </c>
      <c r="AZ24" s="1461" t="s">
        <v>1657</v>
      </c>
      <c r="BB24" s="1461" t="s">
        <v>1658</v>
      </c>
      <c r="BC24" s="1461" t="s">
        <v>1659</v>
      </c>
      <c r="BE24" s="1461">
        <v>2022</v>
      </c>
      <c r="BH24" s="1409" t="s">
        <v>1585</v>
      </c>
      <c r="BJ24" s="1409" t="s">
        <v>1543</v>
      </c>
      <c r="BL24" s="1409" t="s">
        <v>1543</v>
      </c>
      <c r="BQ24" s="1622">
        <v>4190069</v>
      </c>
      <c r="BR24" s="1409" t="s">
        <v>1660</v>
      </c>
      <c r="BS24" s="1770"/>
      <c r="BT24" s="1622">
        <v>4189676</v>
      </c>
      <c r="BU24" s="1409" t="s">
        <v>1661</v>
      </c>
      <c r="BV24" s="1411"/>
      <c r="BW24" s="1411"/>
      <c r="CC24" s="1622">
        <v>25575374</v>
      </c>
      <c r="CD24" s="1409" t="s">
        <v>1662</v>
      </c>
    </row>
    <row customHeight="1" ht="11.25">
      <c r="A25" s="1415" t="s">
        <v>1663</v>
      </c>
      <c r="B25" s="1416">
        <v>2023</v>
      </c>
      <c r="AW25" s="1461" t="s">
        <v>1664</v>
      </c>
      <c r="AX25" s="1461" t="s">
        <v>1664</v>
      </c>
      <c r="AZ25" s="1461" t="s">
        <v>1665</v>
      </c>
      <c r="BB25" s="1461" t="s">
        <v>1666</v>
      </c>
      <c r="BC25" s="1461" t="s">
        <v>1659</v>
      </c>
      <c r="BE25" s="1461">
        <v>2023</v>
      </c>
      <c r="BH25" s="1409" t="s">
        <v>1591</v>
      </c>
      <c r="BJ25" s="1409" t="s">
        <v>1616</v>
      </c>
      <c r="BL25" s="1409" t="s">
        <v>1616</v>
      </c>
      <c r="BQ25" s="1622">
        <v>4190070</v>
      </c>
      <c r="BR25" s="1409" t="s">
        <v>1667</v>
      </c>
      <c r="BS25" s="1770"/>
      <c r="BT25" s="1622">
        <v>4189677</v>
      </c>
      <c r="BU25" s="1409" t="s">
        <v>1668</v>
      </c>
      <c r="BV25" s="1411"/>
      <c r="BW25" s="1411"/>
    </row>
    <row customHeight="1" ht="11.25">
      <c r="A26" s="1415" t="s">
        <v>1669</v>
      </c>
      <c r="B26" s="1416">
        <v>2024</v>
      </c>
      <c r="J26" s="2072" t="s">
        <v>1670</v>
      </c>
      <c r="AX26" s="1461" t="s">
        <v>1671</v>
      </c>
      <c r="AZ26" s="1461" t="s">
        <v>1536</v>
      </c>
      <c r="BB26" s="1461" t="s">
        <v>1672</v>
      </c>
      <c r="BC26" s="1461" t="s">
        <v>1659</v>
      </c>
      <c r="BE26" s="1461">
        <v>2024</v>
      </c>
      <c r="BH26" s="1409" t="s">
        <v>1602</v>
      </c>
      <c r="BJ26" s="1409" t="s">
        <v>1554</v>
      </c>
      <c r="BL26" s="1409" t="s">
        <v>1554</v>
      </c>
      <c r="BQ26" s="1622">
        <v>4190071</v>
      </c>
      <c r="BR26" s="1409" t="s">
        <v>1673</v>
      </c>
      <c r="BS26" s="1770"/>
      <c r="BV26" s="1411"/>
      <c r="BW26" s="1411"/>
    </row>
    <row customHeight="1" ht="11.25">
      <c r="A27" s="1415" t="s">
        <v>1674</v>
      </c>
      <c r="B27" s="1416">
        <v>2025</v>
      </c>
      <c r="J27" s="517" t="s">
        <v>104</v>
      </c>
      <c r="AX27" s="1461" t="s">
        <v>113</v>
      </c>
      <c r="BB27" s="1461" t="s">
        <v>1675</v>
      </c>
      <c r="BC27" s="1461" t="s">
        <v>1659</v>
      </c>
      <c r="BE27" s="1461">
        <v>2025</v>
      </c>
      <c r="BH27" s="1411" t="s">
        <v>28</v>
      </c>
      <c r="BJ27" s="1409" t="s">
        <v>1561</v>
      </c>
      <c r="BL27" s="1409" t="s">
        <v>1561</v>
      </c>
      <c r="BN27" s="1411" t="s">
        <v>28</v>
      </c>
      <c r="BQ27" s="1622">
        <v>4190072</v>
      </c>
      <c r="BR27" s="1409" t="s">
        <v>1676</v>
      </c>
      <c r="BS27" s="1770"/>
      <c r="BV27" s="1411"/>
      <c r="BW27" s="1411"/>
    </row>
    <row customHeight="1" ht="11.25">
      <c r="A28" s="1415" t="s">
        <v>1677</v>
      </c>
      <c r="D28" s="1442"/>
      <c r="E28" s="1443"/>
      <c r="F28" s="1443"/>
      <c r="H28" s="1444" t="s">
        <v>1678</v>
      </c>
      <c r="AX28" s="1461" t="s">
        <v>1679</v>
      </c>
      <c r="AZ28" s="1408" t="s">
        <v>1680</v>
      </c>
      <c r="BB28" s="1461" t="s">
        <v>1681</v>
      </c>
      <c r="BC28" s="1461" t="s">
        <v>1682</v>
      </c>
      <c r="BE28" s="1461">
        <v>2026</v>
      </c>
      <c r="BH28" s="1411" t="s">
        <v>28</v>
      </c>
      <c r="BJ28" s="1409" t="s">
        <v>1568</v>
      </c>
      <c r="BL28" s="1409" t="s">
        <v>1568</v>
      </c>
      <c r="BN28" s="1411" t="s">
        <v>28</v>
      </c>
      <c r="BQ28" s="1622">
        <v>4190073</v>
      </c>
      <c r="BR28" s="1409" t="s">
        <v>1683</v>
      </c>
      <c r="BS28" s="1770"/>
      <c r="BV28" s="1411"/>
      <c r="BW28" s="1411"/>
    </row>
    <row customHeight="1" ht="11.25">
      <c r="A29" s="1415" t="s">
        <v>1684</v>
      </c>
      <c r="D29" s="1445" t="s">
        <v>1685</v>
      </c>
      <c r="E29" s="1446" t="str">
        <f>IF(TEMPLATE_GROUP="","",INDEX(StartDateList,MATCH(TEMPLATE_GROUP,CodeTemplateList,0),1))</f>
        <v>01.01.2025</v>
      </c>
      <c r="F29" s="1446" t="str">
        <f>IF(TEMPLATE_GROUP="","",INDEX(EndDateList,MATCH(TEMPLATE_GROUP,CodeTemplateList,0),1))</f>
        <v>31.12.2028</v>
      </c>
      <c r="H29" s="1447" t="s">
        <v>1686</v>
      </c>
      <c r="AX29" s="1461" t="s">
        <v>1687</v>
      </c>
      <c r="AZ29" s="1461" t="s">
        <v>1335</v>
      </c>
      <c r="BB29" s="1461" t="s">
        <v>1536</v>
      </c>
      <c r="BC29" s="1432"/>
      <c r="BE29" s="1461">
        <v>2027</v>
      </c>
      <c r="BJ29" s="1409" t="s">
        <v>1576</v>
      </c>
      <c r="BL29" s="1409" t="s">
        <v>1576</v>
      </c>
    </row>
    <row customHeight="1" ht="11.25">
      <c r="A30" s="1415" t="s">
        <v>1688</v>
      </c>
      <c r="D30" s="1448"/>
      <c r="E30" s="1449"/>
      <c r="F30" s="1449"/>
      <c r="AX30" s="1461" t="s">
        <v>1689</v>
      </c>
      <c r="AZ30" s="1461" t="s">
        <v>1361</v>
      </c>
      <c r="BE30" s="1461">
        <v>2028</v>
      </c>
      <c r="BJ30" s="1409" t="s">
        <v>1690</v>
      </c>
      <c r="BL30" s="1409" t="s">
        <v>1690</v>
      </c>
    </row>
    <row customHeight="1" ht="12.75">
      <c r="A31" s="1415" t="s">
        <v>1691</v>
      </c>
      <c r="D31" s="1442"/>
      <c r="E31" s="1443"/>
      <c r="F31" s="1443"/>
      <c r="H31" s="1450"/>
      <c r="AX31" s="1461" t="s">
        <v>1692</v>
      </c>
      <c r="AZ31" s="1461" t="s">
        <v>1693</v>
      </c>
      <c r="BE31" s="1461">
        <v>2029</v>
      </c>
      <c r="BJ31" s="1409" t="s">
        <v>1694</v>
      </c>
      <c r="BL31" s="1409" t="s">
        <v>1694</v>
      </c>
    </row>
    <row customHeight="1" ht="11.25">
      <c r="A32" s="1415" t="s">
        <v>1695</v>
      </c>
      <c r="D32" s="1445" t="s">
        <v>1696</v>
      </c>
      <c r="E32" s="1446" t="str">
        <f>IF(TEMPLATE_GROUP="","",INDEX(StartDateList,MATCH(TEMPLATE_GROUP,CodeTemplateList,0),1))</f>
        <v>01.01.2025</v>
      </c>
      <c r="F32" s="1446" t="str">
        <f>IF(TEMPLATE_GROUP="","",INDEX(EndDateList,MATCH(TEMPLATE_GROUP,CodeTemplateList,0),1))</f>
        <v>31.12.2028</v>
      </c>
      <c r="H32" s="1451" t="s">
        <v>1697</v>
      </c>
      <c r="O32" s="1415" t="s">
        <v>1333</v>
      </c>
      <c r="AX32" s="1461" t="s">
        <v>1698</v>
      </c>
      <c r="AZ32" s="1461" t="s">
        <v>1429</v>
      </c>
      <c r="BE32" s="1461">
        <v>2030</v>
      </c>
      <c r="BJ32" s="1409" t="s">
        <v>1585</v>
      </c>
      <c r="BL32" s="1409" t="s">
        <v>1585</v>
      </c>
    </row>
    <row customHeight="1" ht="11.25">
      <c r="A33" s="1415" t="s">
        <v>1699</v>
      </c>
      <c r="O33" s="1415" t="s">
        <v>1359</v>
      </c>
      <c r="AX33" s="1461" t="s">
        <v>1700</v>
      </c>
      <c r="AZ33" s="1461" t="s">
        <v>607</v>
      </c>
      <c r="BE33" s="1461">
        <v>2031</v>
      </c>
      <c r="BJ33" s="1409" t="s">
        <v>1591</v>
      </c>
      <c r="BL33" s="1409" t="s">
        <v>1591</v>
      </c>
    </row>
    <row customHeight="1" ht="11.25">
      <c r="A34" s="1415" t="s">
        <v>1701</v>
      </c>
      <c r="O34" s="1415" t="s">
        <v>1394</v>
      </c>
      <c r="AX34" s="1461" t="s">
        <v>1702</v>
      </c>
      <c r="BE34" s="1461">
        <v>2032</v>
      </c>
      <c r="BJ34" s="1409" t="s">
        <v>1602</v>
      </c>
      <c r="BL34" s="1409" t="s">
        <v>1602</v>
      </c>
    </row>
    <row customHeight="1" ht="11.25">
      <c r="A35" s="1415" t="s">
        <v>1703</v>
      </c>
      <c r="O35" s="1415" t="s">
        <v>1427</v>
      </c>
      <c r="AX35" s="1461" t="s">
        <v>1704</v>
      </c>
      <c r="AZ35" s="1408" t="s">
        <v>1705</v>
      </c>
      <c r="BE35" s="1461">
        <v>2033</v>
      </c>
      <c r="BL35" s="1409" t="s">
        <v>1706</v>
      </c>
    </row>
    <row customHeight="1" ht="11.25">
      <c r="A36" s="2211" t="s">
        <v>1707</v>
      </c>
      <c r="D36" s="1452" t="s">
        <v>1708</v>
      </c>
      <c r="E36" s="1453" t="s">
        <v>965</v>
      </c>
      <c r="F36" s="1454" t="str">
        <f>INDEX(E37:E41,MATCH(TEMPLATE_SPHERE,F37:F41,0))</f>
        <v>холодного водоснабжения</v>
      </c>
      <c r="G36" s="1454" t="str">
        <f>INDEX(G37:G41,MATCH(TEMPLATE_SPHERE,F37:F41,0))</f>
        <v>холодное водоснабжение</v>
      </c>
      <c r="O36" s="1415" t="s">
        <v>1452</v>
      </c>
      <c r="AX36" s="1461" t="s">
        <v>1709</v>
      </c>
      <c r="AZ36" s="1461" t="s">
        <v>607</v>
      </c>
      <c r="BE36" s="1461">
        <v>2034</v>
      </c>
      <c r="BL36" s="1409" t="s">
        <v>1710</v>
      </c>
    </row>
    <row customHeight="1" ht="11.25">
      <c r="A37" s="1415" t="s">
        <v>1711</v>
      </c>
      <c r="E37" s="748" t="s">
        <v>1712</v>
      </c>
      <c r="F37" s="1455" t="s">
        <v>919</v>
      </c>
      <c r="G37" s="748" t="s">
        <v>1713</v>
      </c>
      <c r="O37" s="1415" t="s">
        <v>1471</v>
      </c>
      <c r="AX37" s="1461" t="s">
        <v>1714</v>
      </c>
      <c r="AZ37" s="1461" t="s">
        <v>1360</v>
      </c>
      <c r="BE37" s="1461">
        <v>2035</v>
      </c>
    </row>
    <row customHeight="1" ht="11.25">
      <c r="A38" s="1415" t="s">
        <v>1715</v>
      </c>
      <c r="E38" s="748" t="s">
        <v>1716</v>
      </c>
      <c r="F38" s="1456" t="s">
        <v>965</v>
      </c>
      <c r="G38" s="748" t="s">
        <v>1717</v>
      </c>
      <c r="O38" s="1415" t="s">
        <v>1488</v>
      </c>
      <c r="AX38" s="1461" t="s">
        <v>1718</v>
      </c>
      <c r="AZ38" s="1461" t="s">
        <v>1395</v>
      </c>
      <c r="BE38" s="1461">
        <v>2036</v>
      </c>
      <c r="BH38" s="1408" t="s">
        <v>1719</v>
      </c>
      <c r="BJ38" s="1408" t="s">
        <v>1720</v>
      </c>
      <c r="BL38" s="1408" t="s">
        <v>1721</v>
      </c>
      <c r="BN38" s="1408" t="s">
        <v>1722</v>
      </c>
    </row>
    <row customHeight="1" ht="11.25">
      <c r="A39" s="1415" t="s">
        <v>1723</v>
      </c>
      <c r="E39" s="748" t="s">
        <v>1724</v>
      </c>
      <c r="F39" s="1456" t="s">
        <v>1018</v>
      </c>
      <c r="G39" s="748" t="s">
        <v>1725</v>
      </c>
      <c r="O39" s="1415" t="s">
        <v>1504</v>
      </c>
      <c r="AX39" s="1461" t="s">
        <v>1726</v>
      </c>
      <c r="AZ39" s="1461" t="s">
        <v>1428</v>
      </c>
      <c r="BE39" s="1461">
        <v>2037</v>
      </c>
      <c r="BH39" s="1409" t="s">
        <v>1727</v>
      </c>
      <c r="BJ39" s="1558" t="s">
        <v>1727</v>
      </c>
      <c r="BL39" s="1558" t="s">
        <v>1727</v>
      </c>
      <c r="BN39" s="1409" t="s">
        <v>1728</v>
      </c>
    </row>
    <row customHeight="1" ht="11.25">
      <c r="A40" s="1415" t="s">
        <v>1729</v>
      </c>
      <c r="E40" s="748" t="s">
        <v>1730</v>
      </c>
      <c r="F40" s="1456" t="s">
        <v>1005</v>
      </c>
      <c r="G40" s="748" t="s">
        <v>1731</v>
      </c>
      <c r="O40" s="1415" t="s">
        <v>1520</v>
      </c>
      <c r="AX40" s="1461" t="s">
        <v>1732</v>
      </c>
      <c r="BE40" s="1461">
        <v>2038</v>
      </c>
      <c r="BH40" s="1409" t="s">
        <v>1733</v>
      </c>
      <c r="BJ40" s="1558" t="s">
        <v>1138</v>
      </c>
      <c r="BL40" s="1558" t="s">
        <v>1138</v>
      </c>
      <c r="BN40" s="1409" t="s">
        <v>1172</v>
      </c>
    </row>
    <row customHeight="1" ht="11.25">
      <c r="A41" s="1415" t="s">
        <v>1734</v>
      </c>
      <c r="E41" s="748" t="s">
        <v>1735</v>
      </c>
      <c r="F41" s="1456" t="s">
        <v>1736</v>
      </c>
      <c r="G41" s="748" t="s">
        <v>1735</v>
      </c>
      <c r="O41" s="1415" t="s">
        <v>1536</v>
      </c>
      <c r="AX41" s="1461" t="s">
        <v>1737</v>
      </c>
      <c r="AZ41" s="1408" t="s">
        <v>1738</v>
      </c>
      <c r="BE41" s="1461">
        <v>2039</v>
      </c>
      <c r="BH41" s="1409" t="s">
        <v>1739</v>
      </c>
      <c r="BJ41" s="1558" t="s">
        <v>1134</v>
      </c>
      <c r="BL41" s="1558" t="s">
        <v>1134</v>
      </c>
      <c r="BN41" s="1409" t="s">
        <v>1159</v>
      </c>
    </row>
    <row customHeight="1" ht="11.25">
      <c r="A42" s="1415" t="s">
        <v>1740</v>
      </c>
      <c r="AX42" s="1461" t="s">
        <v>1741</v>
      </c>
      <c r="AZ42" s="1461" t="s">
        <v>1333</v>
      </c>
      <c r="BE42" s="1461">
        <v>2040</v>
      </c>
      <c r="BH42" s="1409" t="s">
        <v>1156</v>
      </c>
      <c r="BJ42" s="1558" t="s">
        <v>1136</v>
      </c>
      <c r="BL42" s="1558" t="s">
        <v>1136</v>
      </c>
      <c r="BN42" s="1409" t="s">
        <v>1742</v>
      </c>
    </row>
    <row customHeight="1" ht="11.25">
      <c r="A43" s="1415" t="s">
        <v>1743</v>
      </c>
      <c r="AX43" s="1461" t="s">
        <v>1744</v>
      </c>
      <c r="AZ43" s="1461" t="s">
        <v>1359</v>
      </c>
      <c r="BE43" s="1461">
        <v>2041</v>
      </c>
      <c r="BH43" s="1409" t="s">
        <v>1745</v>
      </c>
      <c r="BJ43" s="1558" t="s">
        <v>1739</v>
      </c>
      <c r="BL43" s="1558" t="s">
        <v>1739</v>
      </c>
      <c r="BN43" s="1409" t="s">
        <v>1746</v>
      </c>
    </row>
    <row customHeight="1" ht="11.25">
      <c r="A44" s="1415" t="s">
        <v>1747</v>
      </c>
      <c r="G44" s="1435">
        <f>YEAR(TODAY())</f>
        <v>2024</v>
      </c>
      <c r="I44" s="1140" t="s">
        <v>1748</v>
      </c>
      <c r="J44" s="1430" t="s">
        <v>1749</v>
      </c>
      <c r="K44" s="1430" t="s">
        <v>1750</v>
      </c>
      <c r="AX44" s="1461" t="s">
        <v>1751</v>
      </c>
      <c r="AZ44" s="1461" t="s">
        <v>1394</v>
      </c>
      <c r="BE44" s="1461">
        <v>2042</v>
      </c>
      <c r="BH44" s="1409" t="s">
        <v>1752</v>
      </c>
      <c r="BJ44" s="1558" t="s">
        <v>1156</v>
      </c>
      <c r="BL44" s="1558" t="s">
        <v>1156</v>
      </c>
      <c r="BN44" s="1409" t="s">
        <v>1753</v>
      </c>
    </row>
    <row customHeight="1" ht="11.25">
      <c r="A45" s="1415" t="s">
        <v>1754</v>
      </c>
      <c r="D45" s="1452" t="s">
        <v>1755</v>
      </c>
      <c r="E45" s="1453" t="s">
        <v>1756</v>
      </c>
      <c r="F45" s="1138" t="s">
        <v>1757</v>
      </c>
      <c r="G45" s="1137" t="s">
        <v>1758</v>
      </c>
      <c r="H45" s="1140" t="s">
        <v>1759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1760</v>
      </c>
      <c r="AZ45" s="1461" t="s">
        <v>1427</v>
      </c>
      <c r="BE45" s="1461">
        <v>2043</v>
      </c>
      <c r="BH45" s="1409" t="s">
        <v>1761</v>
      </c>
      <c r="BJ45" s="1558" t="s">
        <v>1150</v>
      </c>
      <c r="BL45" s="1558" t="s">
        <v>1150</v>
      </c>
      <c r="BN45" s="1409" t="s">
        <v>1762</v>
      </c>
    </row>
    <row customHeight="1" ht="11.25">
      <c r="A46" s="1415" t="s">
        <v>1763</v>
      </c>
      <c r="E46" s="748" t="s">
        <v>26</v>
      </c>
      <c r="F46" s="1455" t="s">
        <v>1764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(холодного водоснабжения)</v>
      </c>
      <c r="K46" s="2087"/>
      <c r="AX46" s="1461" t="s">
        <v>125</v>
      </c>
      <c r="AZ46" s="1461" t="s">
        <v>1452</v>
      </c>
      <c r="BE46" s="1461">
        <v>2044</v>
      </c>
      <c r="BH46" s="1409" t="s">
        <v>1159</v>
      </c>
      <c r="BJ46" s="1558" t="s">
        <v>1140</v>
      </c>
      <c r="BL46" s="1558" t="s">
        <v>1140</v>
      </c>
      <c r="BN46" s="1409" t="s">
        <v>1765</v>
      </c>
    </row>
    <row customHeight="1" ht="11.25">
      <c r="A47" s="1415" t="s">
        <v>1766</v>
      </c>
      <c r="E47" s="748" t="s">
        <v>33</v>
      </c>
      <c r="F47" s="1456" t="s">
        <v>1767</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87"/>
      <c r="AX47" s="1461" t="s">
        <v>1768</v>
      </c>
      <c r="AZ47" s="1461" t="s">
        <v>1471</v>
      </c>
      <c r="BE47" s="1461">
        <v>2045</v>
      </c>
      <c r="BH47" s="1409" t="s">
        <v>1742</v>
      </c>
      <c r="BJ47" s="1558" t="s">
        <v>1142</v>
      </c>
      <c r="BL47" s="1558" t="s">
        <v>1142</v>
      </c>
      <c r="BN47" s="1409" t="s">
        <v>1769</v>
      </c>
    </row>
    <row customHeight="1" ht="11.25">
      <c r="A48" s="1415" t="s">
        <v>1770</v>
      </c>
      <c r="E48" s="748" t="s">
        <v>1771</v>
      </c>
      <c r="F48" s="1456" t="s">
        <v>1772</v>
      </c>
      <c r="G48" s="1457" t="str">
        <f>_xlfn.IFERROR(IF(f_year="","01.01."&amp;CURRENT_YEAR,"01.01."&amp;f_year),"01.01."&amp;CURRENT_YEAR)</f>
        <v>01.01.2024</v>
      </c>
      <c r="H48" s="1457" t="str">
        <f>_xlfn.IFERROR(IF(f_year="","31.12."&amp;CURRENT_YEAR,"31.12."&amp;f_year),"31.12."&amp;CURRENT_YEAR)</f>
        <v>31.12.2024</v>
      </c>
      <c r="I48" s="2083">
        <f>IF(f_year="",TRUE,FALSE)</f>
        <v>1</v>
      </c>
      <c r="J48" s="2086" t="s">
        <v>1773</v>
      </c>
      <c r="K48" s="2087"/>
      <c r="AX48" s="1461" t="s">
        <v>1774</v>
      </c>
      <c r="AZ48" s="1461" t="s">
        <v>1488</v>
      </c>
      <c r="BE48" s="1461">
        <v>2046</v>
      </c>
      <c r="BH48" s="1409" t="s">
        <v>1746</v>
      </c>
      <c r="BJ48" s="1558" t="s">
        <v>1144</v>
      </c>
      <c r="BL48" s="1558" t="s">
        <v>1144</v>
      </c>
      <c r="BN48" s="1409" t="s">
        <v>1775</v>
      </c>
    </row>
    <row customHeight="1" ht="11.25">
      <c r="A49" s="1415" t="s">
        <v>16</v>
      </c>
      <c r="E49" s="748" t="s">
        <v>1776</v>
      </c>
      <c r="F49" s="1456" t="s">
        <v>1777</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87"/>
      <c r="AX49" s="1461" t="s">
        <v>1778</v>
      </c>
      <c r="AZ49" s="1461" t="s">
        <v>1504</v>
      </c>
      <c r="BE49" s="1461">
        <v>2047</v>
      </c>
      <c r="BH49" s="1409" t="s">
        <v>1160</v>
      </c>
      <c r="BJ49" s="1558" t="s">
        <v>1146</v>
      </c>
      <c r="BL49" s="1558" t="s">
        <v>1146</v>
      </c>
    </row>
    <row customHeight="1" ht="11.25">
      <c r="A50" s="1415" t="s">
        <v>1779</v>
      </c>
      <c r="E50" s="748" t="s">
        <v>1780</v>
      </c>
      <c r="F50" s="1456" t="s">
        <v>1130</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87"/>
      <c r="AX50" s="1461" t="s">
        <v>1781</v>
      </c>
      <c r="AZ50" s="1461" t="s">
        <v>1520</v>
      </c>
      <c r="BE50" s="1461">
        <v>2048</v>
      </c>
      <c r="BH50" s="1409" t="s">
        <v>1753</v>
      </c>
      <c r="BJ50" s="1558" t="s">
        <v>1148</v>
      </c>
      <c r="BL50" s="1558" t="s">
        <v>1148</v>
      </c>
    </row>
    <row customHeight="1" ht="11.25">
      <c r="A51" s="1415" t="s">
        <v>1782</v>
      </c>
      <c r="E51" s="748" t="s">
        <v>1783</v>
      </c>
      <c r="F51" s="1456" t="s">
        <v>1756</v>
      </c>
      <c r="G51" s="1457" t="str">
        <f>_xlfn.IFERROR(IF(TITLE_PERIOD_START="","01.01."&amp;CURRENT_YEAR,"01.01."&amp;YEAR(TITLE_PERIOD_START)),"01.01."&amp;CURRENT_YEAR)</f>
        <v>01.01.2025</v>
      </c>
      <c r="H51" s="1457" t="str">
        <f>_xlfn.IFERROR(IF(TITLE_PERIOD_END="","31.12."&amp;CURRENT_YEAR,"31.12."&amp;YEAR(TITLE_PERIOD_END)),"31.12."&amp;CURRENT_YEAR)</f>
        <v>31.12.2028</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1784</v>
      </c>
      <c r="AZ51" s="1461" t="s">
        <v>1536</v>
      </c>
      <c r="BE51" s="1461">
        <v>2049</v>
      </c>
      <c r="BH51" s="1409" t="s">
        <v>1762</v>
      </c>
      <c r="BJ51" s="1558" t="s">
        <v>1785</v>
      </c>
      <c r="BL51" s="1558" t="s">
        <v>1785</v>
      </c>
    </row>
    <row customHeight="1" ht="11.25">
      <c r="A52" s="1415" t="s">
        <v>1786</v>
      </c>
      <c r="E52" s="748" t="s">
        <v>1787</v>
      </c>
      <c r="F52" s="1456" t="s">
        <v>1788</v>
      </c>
      <c r="G52" s="1457" t="str">
        <f>_xlfn.IFERROR(IF(TITLE_PERIOD_START="","01.01."&amp;CURRENT_YEAR,"01.01."&amp;YEAR(TITLE_PERIOD_START)),"01.01."&amp;CURRENT_YEAR)</f>
        <v>01.01.2025</v>
      </c>
      <c r="H52" s="1457" t="str">
        <f>_xlfn.IFERROR(IF(TITLE_PERIOD_END="","31.12."&amp;CURRENT_YEAR,"31.12."&amp;YEAR(TITLE_PERIOD_END)),"31.12."&amp;CURRENT_YEAR)</f>
        <v>31.12.2028</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87"/>
      <c r="AX52" s="1461" t="s">
        <v>1789</v>
      </c>
      <c r="AZ52" s="1461" t="s">
        <v>607</v>
      </c>
      <c r="BE52" s="1461">
        <v>2050</v>
      </c>
      <c r="BH52" s="1409" t="s">
        <v>1765</v>
      </c>
      <c r="BJ52" s="1558" t="s">
        <v>1159</v>
      </c>
      <c r="BL52" s="1558" t="s">
        <v>1159</v>
      </c>
    </row>
    <row customHeight="1" ht="11.25">
      <c r="A53" s="1415" t="s">
        <v>1790</v>
      </c>
      <c r="E53" s="748" t="s">
        <v>1791</v>
      </c>
      <c r="F53" s="1456" t="s">
        <v>1791</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1792</v>
      </c>
      <c r="K53" s="2087"/>
      <c r="AX53" s="1461" t="s">
        <v>1793</v>
      </c>
      <c r="BE53" s="1461">
        <v>2051</v>
      </c>
      <c r="BH53" s="1409" t="s">
        <v>1769</v>
      </c>
      <c r="BJ53" s="1558" t="s">
        <v>1742</v>
      </c>
      <c r="BL53" s="1558" t="s">
        <v>1742</v>
      </c>
    </row>
    <row customHeight="1" ht="11.25">
      <c r="A54" s="1415" t="s">
        <v>1794</v>
      </c>
      <c r="AX54" s="1461" t="s">
        <v>1795</v>
      </c>
      <c r="AZ54" s="1408" t="s">
        <v>1796</v>
      </c>
      <c r="BE54" s="1461">
        <v>2052</v>
      </c>
      <c r="BH54" s="1409" t="s">
        <v>1775</v>
      </c>
      <c r="BJ54" s="1558" t="s">
        <v>1746</v>
      </c>
      <c r="BL54" s="1558" t="s">
        <v>1746</v>
      </c>
    </row>
    <row customHeight="1" ht="11.25">
      <c r="A55" s="1415" t="s">
        <v>1797</v>
      </c>
      <c r="AX55" s="1461" t="s">
        <v>1798</v>
      </c>
      <c r="AZ55" s="1461" t="s">
        <v>1336</v>
      </c>
      <c r="BE55" s="1461">
        <v>2053</v>
      </c>
      <c r="BH55" s="1411" t="s">
        <v>28</v>
      </c>
      <c r="BJ55" s="1558" t="s">
        <v>1160</v>
      </c>
      <c r="BL55" s="1558" t="s">
        <v>1160</v>
      </c>
    </row>
    <row customHeight="1" ht="11.25">
      <c r="A56" s="1415" t="s">
        <v>1799</v>
      </c>
      <c r="D56" s="1459" t="s">
        <v>1800</v>
      </c>
      <c r="E56" s="1436" t="s">
        <v>1801</v>
      </c>
      <c r="F56" s="1415" t="s">
        <v>1802</v>
      </c>
      <c r="AX56" s="1461" t="s">
        <v>1803</v>
      </c>
      <c r="AZ56" s="1461" t="s">
        <v>1362</v>
      </c>
      <c r="BE56" s="1461">
        <v>2054</v>
      </c>
      <c r="BH56" s="1411" t="s">
        <v>28</v>
      </c>
      <c r="BJ56" s="1558" t="s">
        <v>1753</v>
      </c>
      <c r="BL56" s="1558" t="s">
        <v>1753</v>
      </c>
    </row>
    <row customHeight="1" ht="11.25">
      <c r="A57" s="1415" t="s">
        <v>1804</v>
      </c>
      <c r="D57" s="1459" t="s">
        <v>1805</v>
      </c>
      <c r="E57" s="1436" t="s">
        <v>116</v>
      </c>
      <c r="F57" s="1415" t="s">
        <v>1802</v>
      </c>
      <c r="AX57" s="1461" t="s">
        <v>1806</v>
      </c>
      <c r="AZ57" s="1461" t="s">
        <v>1397</v>
      </c>
      <c r="BE57" s="1461">
        <v>2055</v>
      </c>
      <c r="BJ57" s="1558" t="s">
        <v>1762</v>
      </c>
      <c r="BL57" s="1558" t="s">
        <v>1762</v>
      </c>
    </row>
    <row customHeight="1" ht="11.25">
      <c r="A58" s="1415" t="s">
        <v>1807</v>
      </c>
      <c r="D58" s="1459" t="s">
        <v>1808</v>
      </c>
      <c r="E58" s="1436" t="s">
        <v>116</v>
      </c>
      <c r="F58" s="1415" t="s">
        <v>1802</v>
      </c>
      <c r="AX58" s="1461" t="s">
        <v>1809</v>
      </c>
      <c r="BE58" s="1461">
        <v>2056</v>
      </c>
      <c r="BJ58" s="1558" t="s">
        <v>1765</v>
      </c>
      <c r="BL58" s="1558" t="s">
        <v>1765</v>
      </c>
    </row>
    <row customHeight="1" ht="11.25">
      <c r="A59" s="1415" t="s">
        <v>1810</v>
      </c>
      <c r="D59" s="1459" t="s">
        <v>172</v>
      </c>
      <c r="E59" s="1436" t="s">
        <v>1698</v>
      </c>
      <c r="F59" s="1415" t="s">
        <v>1811</v>
      </c>
      <c r="AX59" s="1461" t="s">
        <v>1812</v>
      </c>
      <c r="AZ59" s="1408" t="s">
        <v>1813</v>
      </c>
      <c r="BE59" s="1461">
        <v>2057</v>
      </c>
      <c r="BJ59" s="1558" t="s">
        <v>1769</v>
      </c>
      <c r="BL59" s="1558" t="s">
        <v>1769</v>
      </c>
    </row>
    <row customHeight="1" ht="11.25">
      <c r="A60" s="1415" t="s">
        <v>1814</v>
      </c>
      <c r="D60" s="1459" t="s">
        <v>1815</v>
      </c>
      <c r="E60" s="1436" t="s">
        <v>1698</v>
      </c>
      <c r="F60" s="1415" t="s">
        <v>1811</v>
      </c>
      <c r="AX60" s="1461" t="s">
        <v>1816</v>
      </c>
      <c r="AZ60" s="1461" t="s">
        <v>1337</v>
      </c>
      <c r="BE60" s="1461">
        <v>2058</v>
      </c>
      <c r="BJ60" s="1558" t="s">
        <v>1775</v>
      </c>
      <c r="BL60" s="1558" t="s">
        <v>1775</v>
      </c>
    </row>
    <row customHeight="1" ht="11.25">
      <c r="A61" s="1415" t="s">
        <v>1817</v>
      </c>
      <c r="D61" s="1459" t="s">
        <v>1818</v>
      </c>
      <c r="E61" s="1436" t="s">
        <v>1698</v>
      </c>
      <c r="F61" s="1415" t="s">
        <v>1811</v>
      </c>
      <c r="AX61" s="1461" t="s">
        <v>1819</v>
      </c>
      <c r="AZ61" s="1461" t="s">
        <v>1363</v>
      </c>
      <c r="BE61" s="1461">
        <v>2059</v>
      </c>
      <c r="BL61" s="1558" t="s">
        <v>1152</v>
      </c>
    </row>
    <row customHeight="1" ht="11.25">
      <c r="A62" s="1415" t="s">
        <v>1820</v>
      </c>
      <c r="D62" s="1459" t="s">
        <v>171</v>
      </c>
      <c r="E62" s="1436">
        <v>40</v>
      </c>
      <c r="F62" s="1415" t="s">
        <v>1811</v>
      </c>
      <c r="AZ62" s="1461" t="s">
        <v>1398</v>
      </c>
      <c r="BE62" s="1461">
        <v>2060</v>
      </c>
      <c r="BL62" s="1558" t="s">
        <v>1154</v>
      </c>
    </row>
    <row customHeight="1" ht="11.25">
      <c r="A63" s="1415" t="s">
        <v>1821</v>
      </c>
      <c r="D63" s="1459" t="s">
        <v>1822</v>
      </c>
      <c r="E63" s="1436">
        <v>51</v>
      </c>
      <c r="F63" s="1415" t="s">
        <v>1811</v>
      </c>
      <c r="AZ63" s="1461" t="s">
        <v>1430</v>
      </c>
      <c r="BE63" s="1461">
        <v>2061</v>
      </c>
    </row>
    <row customHeight="1" ht="11.25">
      <c r="A64" s="1415" t="s">
        <v>1823</v>
      </c>
      <c r="D64" s="1459" t="s">
        <v>1824</v>
      </c>
      <c r="E64" s="1436">
        <v>51</v>
      </c>
      <c r="F64" s="1415" t="s">
        <v>1811</v>
      </c>
      <c r="AZ64" s="1461" t="s">
        <v>1453</v>
      </c>
      <c r="BE64" s="1461">
        <v>2062</v>
      </c>
    </row>
    <row customHeight="1" ht="11.25">
      <c r="A65" s="1415" t="s">
        <v>1825</v>
      </c>
      <c r="D65" s="1415"/>
      <c r="BE65" s="1461">
        <v>2063</v>
      </c>
    </row>
    <row customHeight="1" ht="11.25">
      <c r="A66" s="1415" t="s">
        <v>1826</v>
      </c>
      <c r="AZ66" s="1408" t="s">
        <v>1827</v>
      </c>
      <c r="BE66" s="1461">
        <v>2064</v>
      </c>
    </row>
    <row customHeight="1" ht="11.25">
      <c r="A67" s="1415" t="s">
        <v>1828</v>
      </c>
      <c r="AZ67" s="1461" t="s">
        <v>1338</v>
      </c>
      <c r="BE67" s="1461">
        <v>2065</v>
      </c>
    </row>
    <row customHeight="1" ht="11.25">
      <c r="A68" s="1415" t="s">
        <v>1829</v>
      </c>
      <c r="AZ68" s="1461" t="s">
        <v>1364</v>
      </c>
      <c r="BE68" s="1461">
        <v>2066</v>
      </c>
      <c r="BH68" s="1408" t="s">
        <v>1830</v>
      </c>
      <c r="BJ68" s="1408" t="s">
        <v>1831</v>
      </c>
      <c r="BL68" s="1408" t="s">
        <v>1832</v>
      </c>
      <c r="BN68" s="1408" t="s">
        <v>1833</v>
      </c>
    </row>
    <row customHeight="1" ht="11.25">
      <c r="A69" s="1415" t="s">
        <v>1834</v>
      </c>
      <c r="AZ69" s="1461" t="s">
        <v>1399</v>
      </c>
      <c r="BE69" s="1461">
        <v>2067</v>
      </c>
      <c r="BH69" s="1409" t="s">
        <v>1835</v>
      </c>
      <c r="BI69" s="1458" t="s">
        <v>145</v>
      </c>
      <c r="BJ69" s="1409" t="s">
        <v>1836</v>
      </c>
      <c r="BK69" s="1458" t="s">
        <v>145</v>
      </c>
      <c r="BL69" s="1409" t="s">
        <v>1837</v>
      </c>
      <c r="BM69" s="1411" t="s">
        <v>145</v>
      </c>
      <c r="BN69" s="1409" t="s">
        <v>1838</v>
      </c>
    </row>
    <row customHeight="1" ht="11.25">
      <c r="A70" s="1415" t="s">
        <v>1839</v>
      </c>
      <c r="AZ70" s="1461" t="s">
        <v>1431</v>
      </c>
      <c r="BE70" s="1461">
        <v>2068</v>
      </c>
      <c r="BH70" s="1409" t="s">
        <v>1840</v>
      </c>
      <c r="BJ70" s="1409" t="s">
        <v>1841</v>
      </c>
      <c r="BL70" s="1409" t="s">
        <v>1842</v>
      </c>
      <c r="BN70" s="1409" t="s">
        <v>1843</v>
      </c>
    </row>
    <row customHeight="1" ht="11.25">
      <c r="A71" s="1415" t="s">
        <v>1844</v>
      </c>
      <c r="AZ71" s="1461" t="s">
        <v>1433</v>
      </c>
      <c r="BE71" s="1461">
        <v>2069</v>
      </c>
      <c r="BH71" s="1409" t="s">
        <v>1845</v>
      </c>
      <c r="BI71" s="1458" t="s">
        <v>90</v>
      </c>
      <c r="BJ71" s="1409" t="s">
        <v>1846</v>
      </c>
      <c r="BK71" s="1458" t="s">
        <v>90</v>
      </c>
      <c r="BL71" s="1409" t="s">
        <v>1847</v>
      </c>
      <c r="BM71" s="1411" t="s">
        <v>90</v>
      </c>
      <c r="BN71" s="1409" t="s">
        <v>1848</v>
      </c>
    </row>
    <row customHeight="1" ht="11.25">
      <c r="A72" s="1415" t="s">
        <v>1849</v>
      </c>
      <c r="AZ72" s="1461" t="s">
        <v>19</v>
      </c>
      <c r="BE72" s="1461">
        <v>2070</v>
      </c>
      <c r="BH72" s="1409" t="s">
        <v>1850</v>
      </c>
      <c r="BJ72" s="1409" t="s">
        <v>1850</v>
      </c>
      <c r="BL72" s="1409" t="s">
        <v>1850</v>
      </c>
      <c r="BN72" s="1409" t="s">
        <v>1851</v>
      </c>
    </row>
    <row customHeight="1" ht="11.25">
      <c r="A73" s="1415" t="s">
        <v>1852</v>
      </c>
      <c r="BH73" s="1409" t="s">
        <v>1853</v>
      </c>
      <c r="BI73" s="1458" t="s">
        <v>116</v>
      </c>
      <c r="BJ73" s="1409" t="s">
        <v>1854</v>
      </c>
      <c r="BK73" s="1458" t="s">
        <v>116</v>
      </c>
      <c r="BL73" s="1409" t="s">
        <v>1855</v>
      </c>
      <c r="BM73" s="1411" t="s">
        <v>116</v>
      </c>
      <c r="BN73" s="1409" t="s">
        <v>1856</v>
      </c>
    </row>
    <row customHeight="1" ht="11.25">
      <c r="A74" s="1415" t="s">
        <v>1857</v>
      </c>
      <c r="BH74" s="1409" t="s">
        <v>1858</v>
      </c>
      <c r="BJ74" s="1409" t="s">
        <v>1859</v>
      </c>
      <c r="BL74" s="1409" t="s">
        <v>1860</v>
      </c>
      <c r="BN74" s="1409" t="s">
        <v>1861</v>
      </c>
    </row>
    <row customHeight="1" ht="11.25">
      <c r="A75" s="1415" t="s">
        <v>1862</v>
      </c>
      <c r="AZ75" s="1408" t="s">
        <v>1863</v>
      </c>
      <c r="BH75" s="1409" t="s">
        <v>1864</v>
      </c>
      <c r="BJ75" s="1409" t="s">
        <v>1864</v>
      </c>
      <c r="BL75" s="1409" t="s">
        <v>1864</v>
      </c>
    </row>
    <row customHeight="1" ht="11.25">
      <c r="A76" s="1415" t="s">
        <v>1865</v>
      </c>
      <c r="AZ76" s="1461" t="s">
        <v>1347</v>
      </c>
      <c r="BH76" s="1409" t="s">
        <v>1866</v>
      </c>
      <c r="BJ76" s="1409" t="s">
        <v>1867</v>
      </c>
      <c r="BL76" s="1409" t="s">
        <v>1868</v>
      </c>
    </row>
    <row customHeight="1" ht="11.25">
      <c r="A77" s="1415" t="s">
        <v>1869</v>
      </c>
      <c r="AZ77" s="1461" t="s">
        <v>1374</v>
      </c>
    </row>
    <row customHeight="1" ht="11.25">
      <c r="A78" s="1415" t="s">
        <v>1870</v>
      </c>
      <c r="AZ78" s="1461" t="s">
        <v>1406</v>
      </c>
    </row>
    <row customHeight="1" ht="11.25">
      <c r="A79" s="1415" t="s">
        <v>1871</v>
      </c>
      <c r="AZ79" s="1461" t="s">
        <v>1437</v>
      </c>
      <c r="BH79" s="1408" t="s">
        <v>1872</v>
      </c>
      <c r="BJ79" s="1408" t="s">
        <v>1873</v>
      </c>
      <c r="BL79" s="1408" t="s">
        <v>1874</v>
      </c>
    </row>
    <row customHeight="1" ht="11.25">
      <c r="A80" s="1415" t="s">
        <v>1875</v>
      </c>
      <c r="AZ80" s="1461" t="s">
        <v>1458</v>
      </c>
      <c r="BH80" s="1409" t="s">
        <v>1876</v>
      </c>
      <c r="BJ80" s="1409" t="s">
        <v>1877</v>
      </c>
      <c r="BL80" s="1409" t="s">
        <v>1878</v>
      </c>
    </row>
    <row customHeight="1" ht="11.25">
      <c r="A81" s="1415" t="s">
        <v>1879</v>
      </c>
      <c r="AZ81" s="1461" t="s">
        <v>1475</v>
      </c>
      <c r="BH81" s="1409" t="s">
        <v>1880</v>
      </c>
      <c r="BJ81" s="1409" t="s">
        <v>1881</v>
      </c>
      <c r="BL81" s="1409" t="s">
        <v>1882</v>
      </c>
    </row>
    <row customHeight="1" ht="11.25">
      <c r="A82" s="1415" t="s">
        <v>1883</v>
      </c>
      <c r="AZ82" s="1461" t="s">
        <v>1490</v>
      </c>
      <c r="BH82" s="1409" t="s">
        <v>1884</v>
      </c>
      <c r="BJ82" s="1409" t="s">
        <v>1885</v>
      </c>
      <c r="BL82" s="1409" t="s">
        <v>1886</v>
      </c>
    </row>
    <row customHeight="1" ht="11.25">
      <c r="A83" s="1415" t="s">
        <v>1887</v>
      </c>
      <c r="BH83" s="1409" t="s">
        <v>1888</v>
      </c>
      <c r="BJ83" s="1409" t="s">
        <v>1889</v>
      </c>
      <c r="BL83" s="1409" t="s">
        <v>1890</v>
      </c>
    </row>
    <row customHeight="1" ht="11.25">
      <c r="A84" s="1415" t="s">
        <v>1891</v>
      </c>
      <c r="AZ84" s="1408" t="s">
        <v>1892</v>
      </c>
    </row>
    <row customHeight="1" ht="11.25">
      <c r="A85" s="2211" t="s">
        <v>1893</v>
      </c>
      <c r="AZ85" s="1461" t="s">
        <v>1894</v>
      </c>
    </row>
    <row customHeight="1" ht="11.25">
      <c r="A86" s="1415" t="s">
        <v>1895</v>
      </c>
      <c r="AZ86" s="1461" t="s">
        <v>1896</v>
      </c>
      <c r="BH86" s="1408" t="s">
        <v>1897</v>
      </c>
      <c r="BJ86" s="1408" t="s">
        <v>1898</v>
      </c>
      <c r="BL86" s="1408" t="s">
        <v>1899</v>
      </c>
    </row>
    <row customHeight="1" ht="11.25">
      <c r="A87" s="1415" t="s">
        <v>1900</v>
      </c>
      <c r="AZ87" s="1461" t="s">
        <v>1901</v>
      </c>
      <c r="BH87" s="1409" t="s">
        <v>1902</v>
      </c>
      <c r="BJ87" s="1409" t="s">
        <v>1903</v>
      </c>
      <c r="BL87" s="1409" t="s">
        <v>1904</v>
      </c>
    </row>
    <row customHeight="1" ht="11.25">
      <c r="A88" s="1415" t="s">
        <v>1905</v>
      </c>
      <c r="AZ88" s="1947"/>
      <c r="BH88" s="1409" t="s">
        <v>1906</v>
      </c>
      <c r="BJ88" s="1409" t="s">
        <v>1907</v>
      </c>
      <c r="BL88" s="1409" t="s">
        <v>1908</v>
      </c>
    </row>
    <row customHeight="1" ht="11.25">
      <c r="A89" s="1415" t="s">
        <v>1909</v>
      </c>
      <c r="AZ89" s="1408" t="s">
        <v>1910</v>
      </c>
    </row>
    <row customHeight="1" ht="11.25">
      <c r="A90" s="1415" t="s">
        <v>1911</v>
      </c>
      <c r="AZ90" s="1461" t="s">
        <v>1130</v>
      </c>
    </row>
    <row customHeight="1" ht="11.25">
      <c r="A91" s="1415" t="s">
        <v>1912</v>
      </c>
      <c r="AZ91" s="1461" t="s">
        <v>1166</v>
      </c>
      <c r="BH91" s="1408" t="s">
        <v>1913</v>
      </c>
      <c r="BJ91" s="1408" t="s">
        <v>1914</v>
      </c>
      <c r="BL91" s="1408" t="s">
        <v>1915</v>
      </c>
    </row>
    <row customHeight="1" ht="11.25">
      <c r="AZ92" s="1461" t="s">
        <v>1916</v>
      </c>
      <c r="BH92" s="1409" t="s">
        <v>1917</v>
      </c>
      <c r="BJ92" s="1409" t="s">
        <v>1918</v>
      </c>
      <c r="BL92" s="1409" t="s">
        <v>1919</v>
      </c>
    </row>
    <row customHeight="1" ht="11.25">
      <c r="AZ93" s="1461" t="s">
        <v>1920</v>
      </c>
      <c r="BH93" s="1409" t="s">
        <v>1921</v>
      </c>
      <c r="BJ93" s="1409" t="s">
        <v>1922</v>
      </c>
      <c r="BL93" s="1409" t="s">
        <v>1923</v>
      </c>
    </row>
    <row customHeight="1" ht="11.25">
      <c r="AZ94" s="1461" t="s">
        <v>1924</v>
      </c>
    </row>
    <row r="96" customHeight="1" ht="11.25">
      <c r="AZ96" s="1408" t="s">
        <v>1925</v>
      </c>
      <c r="BH96" s="1408" t="s">
        <v>1926</v>
      </c>
      <c r="BJ96" s="1408" t="s">
        <v>1927</v>
      </c>
      <c r="BL96" s="1408" t="s">
        <v>1928</v>
      </c>
      <c r="BN96" s="1408" t="s">
        <v>1929</v>
      </c>
    </row>
    <row customHeight="1" ht="11.25">
      <c r="AZ97" s="2242" t="s">
        <v>1930</v>
      </c>
      <c r="BA97" s="2243" t="s">
        <v>1931</v>
      </c>
      <c r="BH97" s="1409" t="s">
        <v>1932</v>
      </c>
      <c r="BJ97" s="1409" t="s">
        <v>1933</v>
      </c>
      <c r="BL97" s="1409" t="s">
        <v>1934</v>
      </c>
      <c r="BN97" s="1409" t="s">
        <v>1935</v>
      </c>
    </row>
    <row customHeight="1" ht="11.25">
      <c r="AZ98" s="2242" t="s">
        <v>1936</v>
      </c>
      <c r="BA98" s="2243" t="s">
        <v>1937</v>
      </c>
      <c r="BH98" s="1409" t="s">
        <v>1938</v>
      </c>
      <c r="BJ98" s="1409" t="s">
        <v>1939</v>
      </c>
      <c r="BL98" s="1409" t="s">
        <v>1940</v>
      </c>
      <c r="BN98" s="1409" t="s">
        <v>1941</v>
      </c>
    </row>
    <row customHeight="1" ht="22.5">
      <c r="AZ99" s="2242" t="s">
        <v>1942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1943</v>
      </c>
      <c r="BJ99" s="1409" t="s">
        <v>1944</v>
      </c>
      <c r="BL99" s="1409" t="s">
        <v>1945</v>
      </c>
      <c r="BN99" s="1409" t="s">
        <v>1946</v>
      </c>
    </row>
    <row customHeight="1" ht="22.5">
      <c r="AZ100" s="2242" t="s">
        <v>1947</v>
      </c>
      <c r="BA100"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09" t="s">
        <v>1536</v>
      </c>
      <c r="BL100" s="1409" t="s">
        <v>1536</v>
      </c>
      <c r="BN100" s="1409" t="s">
        <v>1948</v>
      </c>
    </row>
    <row customHeight="1" ht="22.5">
      <c r="AZ101" s="2242" t="s">
        <v>1949</v>
      </c>
      <c r="BA101" s="2243" t="s">
        <v>1950</v>
      </c>
      <c r="BN101" s="1409" t="s">
        <v>1951</v>
      </c>
    </row>
    <row customHeight="1" ht="22.5">
      <c r="AZ102" s="2242" t="s">
        <v>1952</v>
      </c>
      <c r="BA102"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09" t="s">
        <v>1953</v>
      </c>
    </row>
    <row customHeight="1" ht="11.25">
      <c r="AZ103" s="2242" t="s">
        <v>1954</v>
      </c>
      <c r="BA103" s="2243" t="s">
        <v>1955</v>
      </c>
      <c r="BN103" s="1409" t="s">
        <v>1956</v>
      </c>
    </row>
    <row customHeight="1" ht="11.25">
      <c r="BN104" s="1409" t="s">
        <v>1957</v>
      </c>
    </row>
    <row customHeight="1" ht="11.25">
      <c r="AZ105" s="2033" t="s">
        <v>1958</v>
      </c>
    </row>
    <row customHeight="1" ht="11.25">
      <c r="AZ106" s="1461" t="s">
        <v>1959</v>
      </c>
    </row>
    <row customHeight="1" ht="11.25">
      <c r="AZ107" s="1461" t="s">
        <v>1960</v>
      </c>
      <c r="BH107" s="1408" t="s">
        <v>1961</v>
      </c>
      <c r="BJ107" s="1408" t="s">
        <v>1962</v>
      </c>
      <c r="BL107" s="1408" t="s">
        <v>1963</v>
      </c>
      <c r="BN107" s="1408" t="s">
        <v>1964</v>
      </c>
    </row>
    <row customHeight="1" ht="11.25">
      <c r="AZ108" s="1461" t="s">
        <v>683</v>
      </c>
      <c r="BH108" s="1409" t="s">
        <v>1965</v>
      </c>
      <c r="BJ108" s="1409" t="s">
        <v>1966</v>
      </c>
      <c r="BL108" s="1409" t="s">
        <v>1621</v>
      </c>
      <c r="BN108" s="1409" t="s">
        <v>1967</v>
      </c>
    </row>
    <row customHeight="1" ht="11.25">
      <c r="BH109" s="1409" t="s">
        <v>1968</v>
      </c>
    </row>
    <row customHeight="1" ht="11.25">
      <c r="AZ110" s="2033" t="s">
        <v>1969</v>
      </c>
      <c r="BH110" s="1409" t="s">
        <v>1968</v>
      </c>
    </row>
    <row customHeight="1" ht="11.25">
      <c r="AZ111" s="2242" t="s">
        <v>1930</v>
      </c>
      <c r="BA111" s="2243" t="s">
        <v>1931</v>
      </c>
    </row>
    <row customHeight="1" ht="11.25">
      <c r="AZ112" s="2242" t="s">
        <v>1936</v>
      </c>
      <c r="BA112" s="2243" t="s">
        <v>1937</v>
      </c>
    </row>
    <row customHeight="1" ht="22.5">
      <c r="AZ113" s="2242" t="s">
        <v>1942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1947</v>
      </c>
      <c r="BA114"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08" t="s">
        <v>1970</v>
      </c>
    </row>
    <row customHeight="1" ht="22.5">
      <c r="AZ115" s="2242" t="s">
        <v>1952</v>
      </c>
      <c r="BA115"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09" t="s">
        <v>607</v>
      </c>
    </row>
    <row customHeight="1" ht="11.25">
      <c r="AZ116" s="2242" t="s">
        <v>1954</v>
      </c>
      <c r="BA116" s="2243" t="s">
        <v>1955</v>
      </c>
      <c r="BH116" s="1409" t="s">
        <v>1360</v>
      </c>
    </row>
    <row customHeight="1" ht="11.25">
      <c r="BH117" s="1409" t="s">
        <v>1395</v>
      </c>
    </row>
    <row customHeight="1" ht="11.25">
      <c r="BH118" s="1409" t="s">
        <v>1428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5B69A-4048-4A3E-CF01-3694F8872AF2}" mc:Ignorable="x14ac xr xr2 xr3">
  <dimension ref="A1:J25"/>
  <sheetViews>
    <sheetView topLeftCell="A1" showGridLines="0" zoomScale="90" workbookViewId="0">
      <selection activeCell="A1" sqref="A1"/>
    </sheetView>
  </sheetViews>
  <sheetFormatPr defaultColWidth="9.140625" customHeight="1" defaultRowHeight="11.25"/>
  <cols>
    <col min="1" max="2" style="22262" width="15.00390625" hidden="1" customWidth="1"/>
    <col min="3" max="3" style="22306" width="3.00390625" customWidth="1"/>
    <col min="4" max="4" style="22307" width="6.00390625" customWidth="1"/>
    <col min="5" max="5" style="22306" width="52.00390625" customWidth="1"/>
    <col min="6" max="6" style="22306" width="48.00390625" customWidth="1"/>
    <col min="7" max="7" style="22306" width="93.00390625" customWidth="1"/>
    <col min="8" max="8" style="22306" width="8.00390625" customWidth="1"/>
    <col min="9" max="9" style="22306" width="64.00390625" customWidth="1"/>
    <col min="10" max="10" style="22306" width="9.140625" hidden="1"/>
  </cols>
  <sheetData>
    <row customHeight="1" ht="11.25" hidden="1">
      <c r="A1" s="842" t="s">
        <v>413</v>
      </c>
      <c r="J1" s="796" t="s">
        <v>14</v>
      </c>
    </row>
    <row customHeight="1" ht="22.5" hidden="1">
      <c r="A2" s="843"/>
      <c r="B2" s="843"/>
      <c r="C2" s="2071" t="s">
        <v>104</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22220"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414</v>
      </c>
      <c r="E9" s="2546"/>
      <c r="F9" s="2546"/>
      <c r="G9" s="2549" t="s">
        <v>415</v>
      </c>
      <c r="J9" s="796">
        <v>11</v>
      </c>
    </row>
    <row customHeight="1" ht="11.549999999999999">
      <c r="A10" s="843"/>
      <c r="B10" s="843"/>
      <c r="C10" s="798"/>
      <c r="D10" s="1815" t="s">
        <v>88</v>
      </c>
      <c r="E10" s="1817" t="s">
        <v>416</v>
      </c>
      <c r="F10" s="1817" t="s">
        <v>417</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49" t="str">
        <f>IF(org="","",org)</f>
        <v>КГУП "Примтеплоэнерго"</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74"/>
      <c r="J12" s="796">
        <v>23</v>
      </c>
    </row>
    <row customHeight="1" ht="19.95">
      <c r="A13" s="843"/>
      <c r="B13" s="843"/>
      <c r="C13" s="798"/>
      <c r="D13" s="1861">
        <v>2</v>
      </c>
      <c r="E13" s="1868" t="s">
        <v>1971</v>
      </c>
      <c r="F13" s="1862" t="s">
        <v>420</v>
      </c>
      <c r="G13" s="815"/>
      <c r="H13" s="1874"/>
      <c r="J13" s="796">
        <v>19</v>
      </c>
    </row>
    <row customHeight="1" ht="19.95">
      <c r="A14" s="843"/>
      <c r="B14" s="843"/>
      <c r="C14" s="798"/>
      <c r="D14" s="1864" t="s">
        <v>820</v>
      </c>
      <c r="E14" s="1865" t="s">
        <v>1972</v>
      </c>
      <c r="F14" s="1867"/>
      <c r="G14" s="1866" t="s">
        <v>1973</v>
      </c>
      <c r="H14" s="1874"/>
      <c r="J14" s="796">
        <v>19</v>
      </c>
    </row>
    <row customHeight="1" ht="19.95">
      <c r="A15" s="843"/>
      <c r="B15" s="843"/>
      <c r="C15" s="798"/>
      <c r="D15" s="1864" t="s">
        <v>421</v>
      </c>
      <c r="E15" s="1865" t="s">
        <v>1974</v>
      </c>
      <c r="F15" s="1867"/>
      <c r="G15" s="1866" t="s">
        <v>1975</v>
      </c>
      <c r="H15" s="1874"/>
      <c r="J15" s="796">
        <v>19</v>
      </c>
    </row>
    <row customHeight="1" ht="24">
      <c r="A16" s="843"/>
      <c r="B16" s="843"/>
      <c r="C16" s="798"/>
      <c r="D16" s="1864" t="s">
        <v>424</v>
      </c>
      <c r="E16" s="1863" t="s">
        <v>1976</v>
      </c>
      <c r="F16" s="1872"/>
      <c r="G16" s="815" t="s">
        <v>1977</v>
      </c>
      <c r="H16" s="1874"/>
      <c r="J16" s="796">
        <v>23</v>
      </c>
    </row>
    <row customHeight="1" ht="48.29999999999999">
      <c r="A17" s="843"/>
      <c r="B17" s="843"/>
      <c r="C17" s="798"/>
      <c r="D17" s="1861">
        <v>3</v>
      </c>
      <c r="E17" s="1868" t="s">
        <v>1978</v>
      </c>
      <c r="F17" s="1867"/>
      <c r="G17" s="815" t="s">
        <v>1979</v>
      </c>
      <c r="H17" s="1874"/>
      <c r="J17" s="796">
        <v>46</v>
      </c>
    </row>
    <row customHeight="1" ht="48.29999999999999">
      <c r="A18" s="1816">
        <v>1</v>
      </c>
      <c r="B18" s="843"/>
      <c r="C18" s="1818"/>
      <c r="D18" s="1861" t="s">
        <v>91</v>
      </c>
      <c r="E18" s="1868" t="s">
        <v>1980</v>
      </c>
      <c r="F18" s="1867"/>
      <c r="G18" s="815" t="s">
        <v>1979</v>
      </c>
      <c r="H18" s="1874"/>
      <c r="I18" s="1193"/>
      <c r="J18" s="796">
        <v>46</v>
      </c>
    </row>
    <row customHeight="1" ht="23.25">
      <c r="A19" s="843"/>
      <c r="B19" s="843"/>
      <c r="C19" s="798"/>
      <c r="D19" s="1861" t="s">
        <v>116</v>
      </c>
      <c r="E19" s="1868" t="s">
        <v>1981</v>
      </c>
      <c r="F19" s="1862" t="s">
        <v>420</v>
      </c>
      <c r="G19" s="2812" t="s">
        <v>1982</v>
      </c>
      <c r="H19" s="816"/>
      <c r="J19" s="796">
        <v>22</v>
      </c>
    </row>
    <row s="27230" customFormat="1" customHeight="1" ht="5.25" hidden="1">
      <c r="A20" s="843"/>
      <c r="B20" s="843"/>
      <c r="C20" s="1870"/>
      <c r="D20" s="1869" t="s">
        <v>1227</v>
      </c>
      <c r="E20" s="1355"/>
      <c r="F20" s="1354"/>
      <c r="G20" s="2813"/>
      <c r="J20" s="1871">
        <v>0</v>
      </c>
    </row>
    <row customHeight="1" ht="15.75">
      <c r="A21" s="843"/>
      <c r="B21" s="843"/>
      <c r="C21" s="798"/>
      <c r="D21" s="808"/>
      <c r="E21" s="756" t="s">
        <v>453</v>
      </c>
      <c r="F21" s="810"/>
      <c r="G21" s="2814"/>
      <c r="H21" s="1874"/>
      <c r="J21" s="796">
        <v>15</v>
      </c>
    </row>
    <row s="22262" customFormat="1" customHeight="1" ht="26.25">
      <c r="A22" s="843"/>
      <c r="B22" s="843"/>
      <c r="C22" s="843"/>
      <c r="D22" s="1861" t="s">
        <v>92</v>
      </c>
      <c r="E22" s="815" t="s">
        <v>1983</v>
      </c>
      <c r="F22" s="1867"/>
      <c r="G22" s="815" t="s">
        <v>1984</v>
      </c>
      <c r="H22" s="1873"/>
      <c r="J22" s="842">
        <v>25</v>
      </c>
    </row>
    <row s="22262" customFormat="1" customHeight="1" ht="19.95">
      <c r="A23" s="843"/>
      <c r="B23" s="843"/>
      <c r="C23" s="843"/>
      <c r="D23" s="1861" t="s">
        <v>93</v>
      </c>
      <c r="E23" s="1868" t="s">
        <v>1985</v>
      </c>
      <c r="F23" s="1872"/>
      <c r="G23" s="815" t="s">
        <v>1986</v>
      </c>
      <c r="H23" s="1873"/>
      <c r="J23" s="842">
        <v>19</v>
      </c>
    </row>
    <row s="22262" customFormat="1" customHeight="1" ht="144" hidden="1">
      <c r="A24" s="843"/>
      <c r="B24" s="843"/>
      <c r="C24" s="843"/>
      <c r="D24" s="1861" t="s">
        <v>129</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49C32-00E5-ED87-BF35-61F956C22AD8}" mc:Ignorable="x14ac xr xr2 xr3">
  <dimension ref="A1:IU24"/>
  <sheetViews>
    <sheetView topLeftCell="A1" showGridLines="0" zoomScale="90" workbookViewId="0">
      <selection activeCell="A1" sqref="A1"/>
    </sheetView>
  </sheetViews>
  <sheetFormatPr defaultColWidth="9.140625" customHeight="1" defaultRowHeight="14.25"/>
  <cols>
    <col min="1" max="1" style="21605" width="9.140625" hidden="1"/>
    <col min="2" max="2" style="21687" width="9.140625" hidden="1"/>
    <col min="3" max="3" style="21605" width="3.7109375" hidden="1" customWidth="1"/>
    <col min="4" max="4" style="21787" width="3.00390625" customWidth="1"/>
    <col min="5" max="5" style="21605" width="6.00390625" customWidth="1"/>
    <col min="6" max="6" style="21605" width="46.00390625" customWidth="1"/>
    <col min="7" max="8" style="21605" width="16.00390625" customWidth="1"/>
    <col min="9" max="9" style="21605" width="35.00390625" customWidth="1"/>
    <col min="10" max="10" style="21605" width="89.00390625" customWidth="1"/>
    <col min="11" max="11" style="21788" width="3.00390625" customWidth="1"/>
    <col min="12" max="14" style="21788" width="8.00390625" customWidth="1"/>
    <col min="15" max="15" style="21788" width="25.00390625" customWidth="1"/>
    <col min="16" max="16" style="21788" width="14.00390625" customWidth="1"/>
    <col min="17" max="20" style="21789" width="8.00390625" customWidth="1"/>
    <col min="21" max="254" style="21605" width="8.00390625" customWidth="1"/>
    <col min="255" max="255" style="21605" width="9.140625" hidden="1"/>
  </cols>
  <sheetData>
    <row customHeight="1" ht="22.5" hidden="1">
      <c r="F1" s="1972" t="s">
        <v>1987</v>
      </c>
      <c r="G1" s="1972" t="s">
        <v>49</v>
      </c>
      <c r="H1" s="1972" t="s">
        <v>51</v>
      </c>
      <c r="IU1" s="1496" t="s">
        <v>14</v>
      </c>
    </row>
    <row s="21748" customFormat="1" customHeight="1" ht="22.5" hidden="1">
      <c r="A2" s="1172"/>
      <c r="B2" s="1501">
        <v>1</v>
      </c>
      <c r="C2" s="1501"/>
      <c r="D2" s="2269" t="s">
        <v>104</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21688"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21703"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21703"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1"/>
      <c r="G5" s="2441"/>
      <c r="H5" s="2441"/>
      <c r="I5" s="2441"/>
      <c r="J5" s="2441"/>
      <c r="K5" s="588"/>
      <c r="L5" s="841"/>
      <c r="M5" s="841"/>
      <c r="N5" s="841"/>
      <c r="O5" s="567"/>
      <c r="P5" s="841"/>
      <c r="Q5" s="566"/>
      <c r="R5" s="566"/>
      <c r="S5" s="566"/>
      <c r="T5" s="566"/>
      <c r="IU5" s="848">
        <v>26</v>
      </c>
    </row>
    <row s="21703"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21703" customFormat="1" customHeight="1" ht="14.699999999999998">
      <c r="A7" s="1496"/>
      <c r="B7" s="1501"/>
      <c r="C7" s="1496"/>
      <c r="D7" s="1836"/>
      <c r="E7" s="2442" t="s">
        <v>414</v>
      </c>
      <c r="F7" s="2443"/>
      <c r="G7" s="2443"/>
      <c r="H7" s="2443"/>
      <c r="I7" s="2443"/>
      <c r="J7" s="2815" t="s">
        <v>415</v>
      </c>
      <c r="K7" s="841"/>
      <c r="L7" s="841"/>
      <c r="M7" s="841"/>
      <c r="N7" s="841"/>
      <c r="O7" s="567"/>
      <c r="P7" s="841"/>
      <c r="Q7" s="566"/>
      <c r="R7" s="566"/>
      <c r="S7" s="566"/>
      <c r="T7" s="566"/>
      <c r="IU7" s="848">
        <v>14</v>
      </c>
    </row>
    <row s="21703" customFormat="1" customHeight="1" ht="21">
      <c r="A8" s="1496"/>
      <c r="B8" s="1501"/>
      <c r="C8" s="1496"/>
      <c r="D8" s="1836"/>
      <c r="E8" s="1889" t="s">
        <v>88</v>
      </c>
      <c r="F8" s="1881" t="s">
        <v>1987</v>
      </c>
      <c r="G8" s="1881" t="s">
        <v>49</v>
      </c>
      <c r="H8" s="1881" t="s">
        <v>51</v>
      </c>
      <c r="I8" s="1881" t="s">
        <v>1988</v>
      </c>
      <c r="J8" s="2816"/>
      <c r="K8" s="841"/>
      <c r="L8" s="841"/>
      <c r="M8" s="841"/>
      <c r="N8" s="841"/>
      <c r="O8" s="567"/>
      <c r="P8" s="841"/>
      <c r="Q8" s="566"/>
      <c r="R8" s="566"/>
      <c r="S8" s="566"/>
      <c r="T8" s="566"/>
      <c r="IU8" s="848">
        <v>20</v>
      </c>
    </row>
    <row s="21748"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21748" customFormat="1" customHeight="1" ht="15.75">
      <c r="A10" s="1972"/>
      <c r="B10" s="1501"/>
      <c r="C10" s="753"/>
      <c r="D10" s="1142"/>
      <c r="E10" s="1882"/>
      <c r="F10" s="1841" t="s">
        <v>1989</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21703"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21703"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21703"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21782" customFormat="1" customHeight="1" ht="10.5">
      <c r="B14" s="1175"/>
      <c r="D14" s="523"/>
      <c r="K14" s="841"/>
      <c r="L14" s="841"/>
      <c r="M14" s="841"/>
      <c r="N14" s="841"/>
      <c r="O14" s="567"/>
      <c r="P14" s="841"/>
      <c r="Q14" s="566"/>
      <c r="R14" s="566"/>
      <c r="S14" s="566"/>
      <c r="T14" s="566"/>
      <c r="IU14" s="522">
        <v>10</v>
      </c>
    </row>
    <row s="21782"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15792-8744-6A34-98EF-CB4A430472BE}" mc:Ignorable="x14ac xr xr2 xr3">
  <dimension ref="A1:IW15"/>
  <sheetViews>
    <sheetView topLeftCell="A1" showGridLines="0" zoomScale="90" workbookViewId="0">
      <selection activeCell="A1" sqref="A1"/>
    </sheetView>
  </sheetViews>
  <sheetFormatPr defaultColWidth="9.140625" customHeight="1" defaultRowHeight="14.25"/>
  <cols>
    <col min="1" max="1" style="21605" width="9.140625" hidden="1"/>
    <col min="2" max="2" style="21687" width="9.140625" hidden="1"/>
    <col min="3" max="3" style="21605" width="3.7109375" hidden="1" customWidth="1"/>
    <col min="4" max="4" style="21787" width="3.00390625" customWidth="1"/>
    <col min="5" max="5" style="21605" width="6.00390625" customWidth="1"/>
    <col min="6" max="6" style="21605" width="27.00390625" customWidth="1"/>
    <col min="7" max="7" style="21605" width="16.00390625" customWidth="1"/>
    <col min="8" max="8" style="21605" width="12.00390625" customWidth="1"/>
    <col min="9" max="9" style="21605" width="32.00390625" customWidth="1"/>
    <col min="10" max="11" style="21605" width="41.00390625" customWidth="1"/>
    <col min="12" max="12" style="21605" width="89.00390625" customWidth="1"/>
    <col min="13" max="13" style="21788" width="3.00390625" customWidth="1"/>
    <col min="14" max="16" style="21788" width="8.00390625" customWidth="1"/>
    <col min="17" max="17" style="21788" width="25.00390625" customWidth="1"/>
    <col min="18" max="18" style="21788" width="14.00390625" customWidth="1"/>
    <col min="19" max="22" style="21789" width="8.00390625" customWidth="1"/>
    <col min="23" max="256" style="21605" width="8.00390625" customWidth="1"/>
    <col min="257" max="257" style="21605" width="9.140625" hidden="1"/>
  </cols>
  <sheetData>
    <row customHeight="1" ht="22.5" hidden="1">
      <c r="IW1" s="1496" t="s">
        <v>14</v>
      </c>
    </row>
    <row s="21748" customFormat="1" customHeight="1" ht="22.5" hidden="1">
      <c r="A2" s="1172"/>
      <c r="B2" s="1501">
        <v>1</v>
      </c>
      <c r="C2" s="1501"/>
      <c r="D2" s="2269" t="s">
        <v>104</v>
      </c>
      <c r="E2" s="2230"/>
      <c r="F2" s="2233" t="str">
        <f>IF(ROIV_INFO_NAME="","",ROIV_INFO_NAME)</f>
        <v>КГУП "Примтеплоэнерго"</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21688"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21703"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21703"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1"/>
      <c r="G5" s="2441"/>
      <c r="H5" s="2441"/>
      <c r="I5" s="2441"/>
      <c r="J5" s="2441"/>
      <c r="K5" s="2441"/>
      <c r="L5" s="929"/>
      <c r="M5" s="588"/>
      <c r="N5" s="841"/>
      <c r="O5" s="841"/>
      <c r="P5" s="841"/>
      <c r="Q5" s="567"/>
      <c r="R5" s="841"/>
      <c r="S5" s="566"/>
      <c r="T5" s="566"/>
      <c r="U5" s="566"/>
      <c r="V5" s="566"/>
      <c r="IW5" s="848">
        <v>26</v>
      </c>
    </row>
    <row s="21703"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21703" customFormat="1" customHeight="1" ht="14.699999999999998">
      <c r="A7" s="1496"/>
      <c r="B7" s="1501"/>
      <c r="C7" s="1496"/>
      <c r="D7" s="1836"/>
      <c r="E7" s="2442" t="s">
        <v>414</v>
      </c>
      <c r="F7" s="2443"/>
      <c r="G7" s="2443"/>
      <c r="H7" s="2443"/>
      <c r="I7" s="2443"/>
      <c r="J7" s="2443"/>
      <c r="K7" s="2443"/>
      <c r="L7" s="2815" t="s">
        <v>415</v>
      </c>
      <c r="M7" s="841"/>
      <c r="N7" s="841"/>
      <c r="O7" s="841"/>
      <c r="P7" s="841"/>
      <c r="Q7" s="567"/>
      <c r="R7" s="841"/>
      <c r="S7" s="566"/>
      <c r="T7" s="566"/>
      <c r="U7" s="566"/>
      <c r="V7" s="566"/>
      <c r="IW7" s="848">
        <v>14</v>
      </c>
    </row>
    <row s="21703"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841"/>
      <c r="N8" s="841"/>
      <c r="O8" s="841"/>
      <c r="P8" s="841"/>
      <c r="Q8" s="567"/>
      <c r="R8" s="841"/>
      <c r="S8" s="566"/>
      <c r="T8" s="566"/>
      <c r="U8" s="566"/>
      <c r="V8" s="566"/>
      <c r="IW8" s="848">
        <v>64</v>
      </c>
    </row>
    <row s="21703" customFormat="1" customHeight="1" ht="29.25">
      <c r="A9" s="1496"/>
      <c r="B9" s="1501"/>
      <c r="C9" s="1496"/>
      <c r="D9" s="1836"/>
      <c r="E9" s="2820"/>
      <c r="F9" s="2820"/>
      <c r="G9" s="1878" t="s">
        <v>1990</v>
      </c>
      <c r="H9" s="1878" t="s">
        <v>1991</v>
      </c>
      <c r="I9" s="1878" t="s">
        <v>1992</v>
      </c>
      <c r="J9" s="2820"/>
      <c r="K9" s="2820"/>
      <c r="L9" s="2816"/>
      <c r="M9" s="841"/>
      <c r="N9" s="841"/>
      <c r="O9" s="841"/>
      <c r="P9" s="841"/>
      <c r="Q9" s="567"/>
      <c r="R9" s="841"/>
      <c r="S9" s="566"/>
      <c r="T9" s="566"/>
      <c r="U9" s="566"/>
      <c r="V9" s="566"/>
      <c r="IW9" s="848">
        <v>28</v>
      </c>
    </row>
    <row s="21748" customFormat="1" customHeight="1" ht="23.25">
      <c r="A10" s="2440"/>
      <c r="B10" s="1501">
        <v>1</v>
      </c>
      <c r="C10" s="1501"/>
      <c r="D10" s="1141"/>
      <c r="E10" s="1139">
        <v>1</v>
      </c>
      <c r="F10" s="1880" t="str">
        <f>IF(ROIV_INFO_NAME="","",ROIV_INFO_NAME)</f>
        <v>КГУП "Примтеплоэнерго"</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21748" customFormat="1" customHeight="1" ht="15.75">
      <c r="A11" s="2440"/>
      <c r="B11" s="1501"/>
      <c r="C11" s="753"/>
      <c r="D11" s="1142"/>
      <c r="E11" s="762"/>
      <c r="F11" s="757" t="s">
        <v>1993</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21703"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21703"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21703"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57E85-F2CB-3EB4-B37E-E83F20AAFB97}" mc:Ignorable="x14ac xr xr2 xr3">
  <dimension ref="A1:IW15"/>
  <sheetViews>
    <sheetView topLeftCell="A1" showGridLines="0" zoomScale="90" workbookViewId="0">
      <selection activeCell="A1" sqref="A1"/>
    </sheetView>
  </sheetViews>
  <sheetFormatPr defaultColWidth="9.140625" customHeight="1" defaultRowHeight="14.25"/>
  <cols>
    <col min="1" max="1" style="21605" width="9.140625" hidden="1"/>
    <col min="2" max="2" style="21687" width="9.140625" hidden="1"/>
    <col min="3" max="3" style="21605" width="3.7109375" hidden="1" customWidth="1"/>
    <col min="4" max="4" style="21787" width="3.00390625" customWidth="1"/>
    <col min="5" max="5" style="21605" width="6.00390625" customWidth="1"/>
    <col min="6" max="6" style="21605" width="27.00390625" customWidth="1"/>
    <col min="7" max="7" style="21605" width="16.00390625" customWidth="1"/>
    <col min="8" max="8" style="21605" width="12.00390625" customWidth="1"/>
    <col min="9" max="9" style="21605" width="32.00390625" customWidth="1"/>
    <col min="10" max="11" style="21605" width="41.00390625" customWidth="1"/>
    <col min="12" max="12" style="21605" width="89.00390625" customWidth="1"/>
    <col min="13" max="13" style="21788" width="3.00390625" customWidth="1"/>
    <col min="14" max="16" style="21788" width="8.00390625" customWidth="1"/>
    <col min="17" max="17" style="21788" width="25.00390625" customWidth="1"/>
    <col min="18" max="18" style="21788" width="14.00390625" customWidth="1"/>
    <col min="19" max="22" style="21789" width="8.00390625" customWidth="1"/>
    <col min="23" max="256" style="21605" width="8.00390625" customWidth="1"/>
    <col min="257" max="257" style="21605" width="9.140625" hidden="1"/>
  </cols>
  <sheetData>
    <row customHeight="1" ht="22.5" hidden="1">
      <c r="IW1" s="1972" t="s">
        <v>14</v>
      </c>
    </row>
    <row s="21748" customFormat="1" customHeight="1" ht="22.5" hidden="1">
      <c r="A2" s="1172"/>
      <c r="B2" s="1707">
        <v>1</v>
      </c>
      <c r="C2" s="1707"/>
      <c r="D2" s="2269" t="s">
        <v>104</v>
      </c>
      <c r="E2" s="2245"/>
      <c r="F2" s="2247" t="str">
        <f>IF(ROIV_INFO_NAME="","",ROIV_INFO_NAME)</f>
        <v>КГУП "Примтеплоэнерго"</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21688"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21703"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21703"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1"/>
      <c r="G5" s="2441"/>
      <c r="H5" s="2441"/>
      <c r="I5" s="2441"/>
      <c r="J5" s="2441"/>
      <c r="K5" s="2441"/>
      <c r="L5" s="1976"/>
      <c r="M5" s="589"/>
      <c r="N5" s="1965"/>
      <c r="O5" s="1965"/>
      <c r="P5" s="1965"/>
      <c r="Q5" s="1965"/>
      <c r="R5" s="1965"/>
      <c r="S5" s="566"/>
      <c r="T5" s="566"/>
      <c r="U5" s="566"/>
      <c r="V5" s="566"/>
      <c r="IW5" s="1950">
        <v>26</v>
      </c>
    </row>
    <row s="21703"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21703" customFormat="1" customHeight="1" ht="14.699999999999998">
      <c r="A7" s="1972"/>
      <c r="B7" s="1707"/>
      <c r="C7" s="1972"/>
      <c r="D7" s="1856"/>
      <c r="E7" s="2442" t="s">
        <v>414</v>
      </c>
      <c r="F7" s="2443"/>
      <c r="G7" s="2443"/>
      <c r="H7" s="2443"/>
      <c r="I7" s="2443"/>
      <c r="J7" s="2443"/>
      <c r="K7" s="2443"/>
      <c r="L7" s="2815" t="s">
        <v>415</v>
      </c>
      <c r="M7" s="1965"/>
      <c r="N7" s="1965"/>
      <c r="O7" s="1965"/>
      <c r="P7" s="1965"/>
      <c r="Q7" s="1965"/>
      <c r="R7" s="1965"/>
      <c r="S7" s="566"/>
      <c r="T7" s="566"/>
      <c r="U7" s="566"/>
      <c r="V7" s="566"/>
      <c r="IW7" s="1950">
        <v>14</v>
      </c>
    </row>
    <row s="21703" customFormat="1" customHeight="1" ht="67.2">
      <c r="A8" s="1972"/>
      <c r="B8" s="1707"/>
      <c r="C8" s="1972"/>
      <c r="D8" s="1856"/>
      <c r="E8" s="2819" t="s">
        <v>88</v>
      </c>
      <c r="F8" s="2819" t="s">
        <v>1994</v>
      </c>
      <c r="G8" s="2821" t="s">
        <v>1995</v>
      </c>
      <c r="H8" s="2822"/>
      <c r="I8" s="2823"/>
      <c r="J8" s="2819" t="s">
        <v>1996</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1965"/>
      <c r="N8" s="1965"/>
      <c r="O8" s="1965"/>
      <c r="P8" s="1965"/>
      <c r="Q8" s="1965"/>
      <c r="R8" s="1965"/>
      <c r="S8" s="566"/>
      <c r="T8" s="566"/>
      <c r="U8" s="566"/>
      <c r="V8" s="566"/>
      <c r="IW8" s="1950">
        <v>64</v>
      </c>
    </row>
    <row s="21703" customFormat="1" customHeight="1" ht="29.25">
      <c r="A9" s="1972"/>
      <c r="B9" s="1707"/>
      <c r="C9" s="1972"/>
      <c r="D9" s="1856"/>
      <c r="E9" s="2820"/>
      <c r="F9" s="2820"/>
      <c r="G9" s="2235" t="s">
        <v>1990</v>
      </c>
      <c r="H9" s="2235" t="s">
        <v>1991</v>
      </c>
      <c r="I9" s="2235" t="s">
        <v>1992</v>
      </c>
      <c r="J9" s="2820"/>
      <c r="K9" s="2820"/>
      <c r="L9" s="2816"/>
      <c r="M9" s="1965"/>
      <c r="N9" s="1965"/>
      <c r="O9" s="1965"/>
      <c r="P9" s="1965"/>
      <c r="Q9" s="1965"/>
      <c r="R9" s="1965"/>
      <c r="S9" s="566"/>
      <c r="T9" s="566"/>
      <c r="U9" s="566"/>
      <c r="V9" s="566"/>
      <c r="IW9" s="1950">
        <v>28</v>
      </c>
    </row>
    <row s="21748" customFormat="1" customHeight="1" ht="1.05">
      <c r="A10" s="2440"/>
      <c r="B10" s="1707">
        <v>1</v>
      </c>
      <c r="C10" s="1707"/>
      <c r="D10" s="1141"/>
      <c r="E10" s="1136">
        <v>0</v>
      </c>
      <c r="F10" s="2232" t="str">
        <f>IF(ROIV_INFO_NAME="","",ROIV_INFO_NAME)</f>
        <v>КГУП "Примтеплоэнерго"</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21748" customFormat="1" customHeight="1" ht="15.75">
      <c r="A11" s="2440"/>
      <c r="B11" s="1707"/>
      <c r="C11" s="753"/>
      <c r="D11" s="1142"/>
      <c r="E11" s="762"/>
      <c r="F11" s="992" t="s">
        <v>1993</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21703"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21703"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21703"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05BA-C393-FBAB-2047-8EC7FD42FBC5}" mc:Ignorable="x14ac xr xr2 xr3">
  <dimension ref="A1:Q19"/>
  <sheetViews>
    <sheetView topLeftCell="A1" showGridLines="0" zoomScale="90" workbookViewId="0">
      <selection activeCell="A1" sqref="A1"/>
    </sheetView>
  </sheetViews>
  <sheetFormatPr defaultColWidth="9.140625" customHeight="1" defaultRowHeight="14.25"/>
  <cols>
    <col min="1" max="1" style="21605" width="9.140625" hidden="1"/>
    <col min="2" max="2" style="21687" width="9.140625" hidden="1"/>
    <col min="3" max="3" style="21605" width="3.7109375" hidden="1" customWidth="1"/>
    <col min="4" max="4" style="21787" width="3.00390625" customWidth="1"/>
    <col min="5" max="5" style="21605" width="6.00390625" customWidth="1"/>
    <col min="6" max="6" style="21605" width="27.00390625" customWidth="1"/>
    <col min="7" max="7" style="21605" width="29.00390625" customWidth="1"/>
    <col min="8" max="8" style="21605" width="25.00390625" customWidth="1"/>
    <col min="9" max="9" style="21605" width="5.00390625" customWidth="1"/>
    <col min="10" max="10" style="21605" width="6.00390625" customWidth="1"/>
    <col min="11" max="11" style="21605" width="41.00390625" customWidth="1"/>
    <col min="12" max="12" style="21605" width="42.00390625" customWidth="1"/>
    <col min="13" max="13" style="21605" width="41.00390625" customWidth="1"/>
    <col min="14" max="14" style="21605" width="89.00390625" customWidth="1"/>
    <col min="15" max="15" style="21788" width="3.00390625" customWidth="1"/>
    <col min="16" max="16" style="21788" width="8.00390625" customWidth="1"/>
    <col min="17" max="17" style="21605" width="9.140625" hidden="1"/>
  </cols>
  <sheetData>
    <row customHeight="1" ht="22.5" hidden="1">
      <c r="Q1" s="1496" t="s">
        <v>14</v>
      </c>
    </row>
    <row s="21748" customFormat="1" customHeight="1" ht="22.5" hidden="1">
      <c r="A2" s="837"/>
      <c r="B2" s="1501">
        <v>1</v>
      </c>
      <c r="C2" s="1501"/>
      <c r="D2" s="2269" t="s">
        <v>104</v>
      </c>
      <c r="E2" s="2468">
        <v>1</v>
      </c>
      <c r="F2" s="2644" t="str">
        <f>IF(region_name="","",region_name)</f>
        <v>Приморский край</v>
      </c>
      <c r="G2" s="2824"/>
      <c r="H2" s="2825"/>
      <c r="I2" s="815"/>
      <c r="J2" s="2251">
        <v>1</v>
      </c>
      <c r="K2" s="2253"/>
      <c r="L2" s="2253"/>
      <c r="M2" s="2253"/>
      <c r="N2" s="833"/>
      <c r="O2" s="1876"/>
      <c r="P2" s="852"/>
      <c r="Q2" s="764">
        <v>0</v>
      </c>
    </row>
    <row s="21748" customFormat="1" customHeight="1" ht="22.5" hidden="1">
      <c r="A3" s="1172"/>
      <c r="B3" s="1501"/>
      <c r="C3" s="1501"/>
      <c r="D3" s="1142"/>
      <c r="E3" s="2468"/>
      <c r="F3" s="2644"/>
      <c r="G3" s="2824"/>
      <c r="H3" s="2826"/>
      <c r="I3" s="762"/>
      <c r="J3" s="1841"/>
      <c r="K3" s="1841" t="s">
        <v>1997</v>
      </c>
      <c r="L3" s="1884"/>
      <c r="M3" s="2261"/>
      <c r="N3" s="2254"/>
      <c r="O3" s="1876"/>
      <c r="P3" s="852"/>
      <c r="Q3" s="764">
        <v>0</v>
      </c>
    </row>
    <row s="21688" customFormat="1" customHeight="1" ht="5.25" hidden="1">
      <c r="A4" s="837"/>
      <c r="D4" s="835"/>
      <c r="F4" s="588" t="s">
        <v>83</v>
      </c>
      <c r="G4" s="835" t="s">
        <v>84</v>
      </c>
      <c r="H4" s="835"/>
      <c r="I4" s="2264"/>
      <c r="J4" s="1885"/>
      <c r="K4" s="2252"/>
      <c r="L4" s="2252"/>
      <c r="M4" s="2252"/>
      <c r="N4" s="2248"/>
      <c r="O4" s="588" t="s">
        <v>83</v>
      </c>
      <c r="P4" s="588"/>
      <c r="Q4" s="852">
        <v>0</v>
      </c>
    </row>
    <row s="21748" customFormat="1" customHeight="1" ht="22.5" hidden="1">
      <c r="A5" s="1982"/>
      <c r="B5" s="1707">
        <v>1</v>
      </c>
      <c r="C5" s="1707"/>
      <c r="D5" s="1142"/>
      <c r="E5" s="2254"/>
      <c r="F5" s="2254"/>
      <c r="G5" s="2254"/>
      <c r="H5" s="2265"/>
      <c r="I5" s="2270" t="s">
        <v>104</v>
      </c>
      <c r="J5" s="2263">
        <v>1</v>
      </c>
      <c r="K5" s="2253"/>
      <c r="L5" s="2253"/>
      <c r="M5" s="2253"/>
      <c r="N5" s="833"/>
      <c r="O5" s="1876"/>
      <c r="P5" s="1977"/>
      <c r="Q5" s="965">
        <v>0</v>
      </c>
    </row>
    <row s="21703" customFormat="1" customHeight="1" ht="14.699999999999998">
      <c r="A6" s="1496"/>
      <c r="B6" s="1501"/>
      <c r="C6" s="1496"/>
      <c r="D6" s="1836"/>
      <c r="E6" s="850"/>
      <c r="F6" s="850"/>
      <c r="G6" s="850"/>
      <c r="H6" s="850"/>
      <c r="I6" s="850"/>
      <c r="J6" s="850"/>
      <c r="K6" s="850"/>
      <c r="L6" s="850"/>
      <c r="M6" s="850"/>
      <c r="N6" s="1976"/>
      <c r="O6" s="588"/>
      <c r="P6" s="841"/>
      <c r="Q6" s="848">
        <v>14</v>
      </c>
    </row>
    <row s="21703"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21703" customFormat="1" customHeight="1" ht="14.699999999999998">
      <c r="A8" s="1496"/>
      <c r="B8" s="1501"/>
      <c r="C8" s="1496"/>
      <c r="D8" s="1836"/>
      <c r="E8" s="850"/>
      <c r="F8" s="508"/>
      <c r="G8" s="508"/>
      <c r="H8" s="508"/>
      <c r="I8" s="508"/>
      <c r="J8" s="508"/>
      <c r="K8" s="508"/>
      <c r="L8" s="508"/>
      <c r="M8" s="508"/>
      <c r="N8" s="957"/>
      <c r="O8" s="841"/>
      <c r="P8" s="841"/>
      <c r="Q8" s="848">
        <v>14</v>
      </c>
    </row>
    <row s="27297" customFormat="1" customHeight="1" ht="14.25" hidden="1">
      <c r="A9" s="1809"/>
      <c r="B9" s="1819"/>
      <c r="C9" s="1809"/>
      <c r="D9" s="1836"/>
      <c r="E9" s="2255"/>
      <c r="F9" s="2255"/>
      <c r="G9" s="2255"/>
      <c r="H9" s="2255"/>
      <c r="I9" s="2834"/>
      <c r="J9" s="2834"/>
      <c r="K9" s="2834"/>
      <c r="L9" s="2255"/>
      <c r="M9" s="2256"/>
      <c r="O9" s="1886"/>
      <c r="P9" s="1886"/>
      <c r="Q9" s="1887">
        <v>0</v>
      </c>
    </row>
    <row s="21703" customFormat="1" customHeight="1" ht="14.699999999999998">
      <c r="A10" s="1496"/>
      <c r="B10" s="1501"/>
      <c r="C10" s="1496"/>
      <c r="D10" s="1836"/>
      <c r="E10" s="2468" t="s">
        <v>414</v>
      </c>
      <c r="F10" s="2468"/>
      <c r="G10" s="2468"/>
      <c r="H10" s="2468"/>
      <c r="I10" s="2468"/>
      <c r="J10" s="2468"/>
      <c r="K10" s="2468"/>
      <c r="L10" s="2468"/>
      <c r="M10" s="2442"/>
      <c r="N10" s="2819" t="s">
        <v>415</v>
      </c>
      <c r="O10" s="841"/>
      <c r="P10" s="841"/>
      <c r="Q10" s="848">
        <v>14</v>
      </c>
    </row>
    <row s="21703" customFormat="1" customHeight="1" ht="44.25">
      <c r="A11" s="1972"/>
      <c r="B11" s="1707"/>
      <c r="C11" s="1972"/>
      <c r="D11" s="1856"/>
      <c r="E11" s="2833" t="s">
        <v>88</v>
      </c>
      <c r="F11" s="2833" t="s">
        <v>418</v>
      </c>
      <c r="G11" s="2833" t="s">
        <v>1998</v>
      </c>
      <c r="H11" s="2833"/>
      <c r="I11" s="2833" t="s">
        <v>1999</v>
      </c>
      <c r="J11" s="2833"/>
      <c r="K11" s="2833"/>
      <c r="L11" s="2833" t="s">
        <v>2000</v>
      </c>
      <c r="M11" s="2821" t="s">
        <v>2001</v>
      </c>
      <c r="N11" s="2832"/>
      <c r="O11" s="1965"/>
      <c r="P11" s="1965"/>
      <c r="Q11" s="1950">
        <v>42</v>
      </c>
    </row>
    <row s="21703" customFormat="1" customHeight="1" ht="29.25">
      <c r="A12" s="1496"/>
      <c r="B12" s="1501"/>
      <c r="C12" s="1496"/>
      <c r="D12" s="1836"/>
      <c r="E12" s="2819"/>
      <c r="F12" s="2833"/>
      <c r="G12" s="2250" t="s">
        <v>2002</v>
      </c>
      <c r="H12" s="2250" t="s">
        <v>422</v>
      </c>
      <c r="I12" s="2833"/>
      <c r="J12" s="2833"/>
      <c r="K12" s="2833"/>
      <c r="L12" s="2833"/>
      <c r="M12" s="2821"/>
      <c r="N12" s="2820"/>
      <c r="O12" s="841"/>
      <c r="P12" s="841"/>
      <c r="Q12" s="848">
        <v>28</v>
      </c>
    </row>
    <row s="21748"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2003</v>
      </c>
      <c r="O13" s="1876"/>
      <c r="P13" s="852"/>
      <c r="Q13" s="764">
        <v>22</v>
      </c>
    </row>
    <row s="21748" customFormat="1" customHeight="1" ht="23.25">
      <c r="A14" s="2440"/>
      <c r="B14" s="1501"/>
      <c r="C14" s="1501"/>
      <c r="D14" s="1142"/>
      <c r="E14" s="2468"/>
      <c r="F14" s="2827"/>
      <c r="G14" s="2828"/>
      <c r="H14" s="2836"/>
      <c r="I14" s="762"/>
      <c r="J14" s="1841"/>
      <c r="K14" s="1841" t="s">
        <v>1997</v>
      </c>
      <c r="L14" s="1884"/>
      <c r="M14" s="1884"/>
      <c r="N14" s="2830"/>
      <c r="O14" s="1876"/>
      <c r="P14" s="852"/>
      <c r="Q14" s="764">
        <v>22</v>
      </c>
    </row>
    <row s="21748" customFormat="1" customHeight="1" ht="23.25">
      <c r="A15" s="2440"/>
      <c r="B15" s="1501"/>
      <c r="C15" s="753"/>
      <c r="D15" s="1142"/>
      <c r="E15" s="762"/>
      <c r="F15" s="1841" t="s">
        <v>1989</v>
      </c>
      <c r="G15" s="1883"/>
      <c r="H15" s="1883"/>
      <c r="I15" s="528"/>
      <c r="J15" s="528"/>
      <c r="K15" s="528"/>
      <c r="L15" s="528"/>
      <c r="M15" s="528"/>
      <c r="N15" s="2830"/>
      <c r="O15" s="1877"/>
      <c r="P15" s="852"/>
      <c r="Q15" s="764">
        <v>22</v>
      </c>
    </row>
    <row s="21703" customFormat="1" customHeight="1" ht="22.049999999999997">
      <c r="A16" s="1496"/>
      <c r="B16" s="1501"/>
      <c r="C16" s="1496"/>
      <c r="D16" s="792"/>
      <c r="E16" s="521"/>
      <c r="F16" s="521"/>
      <c r="G16" s="521"/>
      <c r="H16" s="521"/>
      <c r="I16" s="521"/>
      <c r="J16" s="521"/>
      <c r="K16" s="521"/>
      <c r="L16" s="521"/>
      <c r="M16" s="850"/>
      <c r="N16" s="1976"/>
      <c r="O16" s="841"/>
      <c r="P16" s="841"/>
      <c r="Q16" s="848">
        <v>21</v>
      </c>
    </row>
    <row s="21703"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21703"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E8D41-30A2-637C-D185-5434847768E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22217" width="9.140625" hidden="1"/>
    <col min="2" max="2" style="27034" width="9.140625" hidden="1"/>
    <col min="3" max="3" style="27337" width="3.00390625" customWidth="1"/>
    <col min="4" max="4" style="27034" width="6.00390625" customWidth="1"/>
    <col min="5" max="5" style="27034" width="22.00390625" customWidth="1"/>
    <col min="6" max="6" style="27034" width="15.00390625" customWidth="1"/>
    <col min="7" max="7" style="27034" width="14.00390625" customWidth="1"/>
    <col min="8" max="8" style="27034" width="47.00390625" customWidth="1"/>
    <col min="9" max="9" style="27034" width="115.00390625" customWidth="1"/>
    <col min="10" max="10" style="27034" width="3.00390625" customWidth="1"/>
    <col min="11" max="12" style="27034" width="8.00390625" customWidth="1"/>
    <col min="13" max="13" style="27034" width="9.140625" hidden="1"/>
  </cols>
  <sheetData>
    <row customHeight="1" ht="14.25" hidden="1">
      <c r="M1" s="462" t="s">
        <v>14</v>
      </c>
    </row>
    <row customHeight="1" ht="14.25" hidden="1">
      <c r="M2" s="462">
        <v>0</v>
      </c>
    </row>
    <row customHeight="1" ht="14.25" hidden="1">
      <c r="M3" s="462">
        <v>0</v>
      </c>
    </row>
    <row customHeight="1" ht="3">
      <c r="M4" s="462">
        <v>3</v>
      </c>
    </row>
    <row s="21605" customFormat="1" customHeight="1" ht="31.5">
      <c r="A5" s="456"/>
      <c r="C5" s="431"/>
      <c r="D5" s="2441" t="s">
        <v>2004</v>
      </c>
      <c r="E5" s="2441"/>
      <c r="F5" s="2441"/>
      <c r="G5" s="2441"/>
      <c r="H5" s="2441"/>
      <c r="I5" s="606"/>
      <c r="M5" s="424">
        <v>30</v>
      </c>
    </row>
    <row customHeight="1" ht="3" hidden="1">
      <c r="D6" s="463"/>
      <c r="E6" s="463"/>
      <c r="F6" s="463"/>
      <c r="G6" s="463"/>
      <c r="H6" s="463"/>
      <c r="I6" s="463"/>
      <c r="M6" s="462">
        <v>0</v>
      </c>
    </row>
    <row s="22217" customFormat="1" customHeight="1" ht="14.699999999999998">
      <c r="B7" s="460"/>
      <c r="C7" s="461"/>
      <c r="D7" s="464"/>
      <c r="E7" s="464"/>
      <c r="F7" s="464"/>
      <c r="G7" s="464"/>
      <c r="H7" s="1093"/>
      <c r="I7" s="464"/>
      <c r="J7" s="465"/>
      <c r="M7" s="459">
        <v>14</v>
      </c>
    </row>
    <row customHeight="1" ht="14.699999999999998">
      <c r="D8" s="2550" t="s">
        <v>414</v>
      </c>
      <c r="E8" s="2550"/>
      <c r="F8" s="2550"/>
      <c r="G8" s="2550"/>
      <c r="H8" s="2550"/>
      <c r="I8" s="2550" t="s">
        <v>415</v>
      </c>
      <c r="M8" s="462">
        <v>14</v>
      </c>
    </row>
    <row customHeight="1" ht="29.25">
      <c r="D9" s="2550" t="s">
        <v>88</v>
      </c>
      <c r="E9" s="2550" t="s">
        <v>2005</v>
      </c>
      <c r="F9" s="2550"/>
      <c r="G9" s="2550"/>
      <c r="H9" s="2550"/>
      <c r="I9" s="2550"/>
      <c r="M9" s="462">
        <v>28</v>
      </c>
    </row>
    <row customHeight="1" ht="24">
      <c r="D10" s="2550"/>
      <c r="E10" s="468" t="s">
        <v>2006</v>
      </c>
      <c r="F10" s="468" t="s">
        <v>2007</v>
      </c>
      <c r="G10" s="468" t="s">
        <v>2008</v>
      </c>
      <c r="H10" s="468" t="s">
        <v>504</v>
      </c>
      <c r="I10" s="2550"/>
      <c r="M10" s="462">
        <v>23</v>
      </c>
    </row>
    <row customHeight="1" ht="12" hidden="1">
      <c r="D11" s="428" t="s">
        <v>145</v>
      </c>
      <c r="E11" s="428" t="s">
        <v>91</v>
      </c>
      <c r="F11" s="428" t="s">
        <v>116</v>
      </c>
      <c r="G11" s="428" t="s">
        <v>92</v>
      </c>
      <c r="H11" s="428" t="s">
        <v>93</v>
      </c>
      <c r="I11" s="428" t="s">
        <v>129</v>
      </c>
      <c r="M11" s="462">
        <v>0</v>
      </c>
    </row>
    <row s="27034" customFormat="1" customHeight="1" ht="26.25">
      <c r="A12" s="486" t="s">
        <v>90</v>
      </c>
      <c r="B12" s="466" t="s">
        <v>28</v>
      </c>
      <c r="C12" s="467"/>
      <c r="D12" s="469" t="s">
        <v>145</v>
      </c>
      <c r="E12" s="722"/>
      <c r="F12" s="722"/>
      <c r="G12" s="2075" t="s">
        <v>28</v>
      </c>
      <c r="H12" s="723"/>
      <c r="I12" s="2510" t="s">
        <v>2009</v>
      </c>
      <c r="K12" s="613"/>
      <c r="L12" s="614"/>
      <c r="M12" s="458">
        <v>25</v>
      </c>
    </row>
    <row customHeight="1" ht="15.75">
      <c r="A13" s="462"/>
      <c r="B13" s="462"/>
      <c r="C13" s="462"/>
      <c r="D13" s="450"/>
      <c r="E13" s="471" t="s">
        <v>579</v>
      </c>
      <c r="F13" s="470"/>
      <c r="G13" s="470"/>
      <c r="H13" s="555"/>
      <c r="I13" s="2512"/>
      <c r="M13" s="462">
        <v>15</v>
      </c>
    </row>
    <row customHeight="1" ht="3">
      <c r="A14" s="462"/>
      <c r="B14" s="462"/>
      <c r="C14" s="462"/>
      <c r="M14" s="462">
        <v>3</v>
      </c>
    </row>
    <row customHeight="1" ht="29.25">
      <c r="E15" s="2837" t="s">
        <v>2010</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17E9E-9506-7DE9-2859-DCBB9B8FF32B}"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27356" width="9.140625" hidden="1"/>
    <col min="3" max="3" style="27357" width="3.00390625" customWidth="1"/>
    <col min="4" max="4" style="27356" width="6.00390625" customWidth="1"/>
    <col min="5" max="5" style="27356" width="94.00390625" customWidth="1"/>
    <col min="6" max="9" style="27356" width="8.00390625" customWidth="1"/>
    <col min="10" max="10" style="27356"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2011</v>
      </c>
      <c r="E7" s="2839"/>
      <c r="F7" s="608"/>
      <c r="J7" s="410">
        <v>22</v>
      </c>
    </row>
    <row customHeight="1" ht="3">
      <c r="C8" s="433"/>
      <c r="D8" s="411"/>
      <c r="E8" s="411"/>
      <c r="J8" s="410">
        <v>3</v>
      </c>
    </row>
    <row customHeight="1" ht="16.8">
      <c r="C9" s="433"/>
      <c r="D9" s="446" t="s">
        <v>88</v>
      </c>
      <c r="E9" s="601" t="s">
        <v>2012</v>
      </c>
      <c r="J9" s="410">
        <v>16</v>
      </c>
    </row>
    <row customHeight="1" ht="1.05">
      <c r="C10" s="433"/>
      <c r="D10" s="428"/>
      <c r="E10" s="428"/>
      <c r="J10" s="410">
        <v>1</v>
      </c>
    </row>
    <row customHeight="1" ht="11.25" hidden="1">
      <c r="C11" s="433"/>
      <c r="D11" s="491">
        <v>0</v>
      </c>
      <c r="E11" s="602"/>
      <c r="J11" s="410">
        <v>0</v>
      </c>
    </row>
    <row customHeight="1" ht="15.75">
      <c r="C12" s="477"/>
      <c r="D12" s="454">
        <v>1</v>
      </c>
      <c r="E12" s="718" t="s">
        <v>2013</v>
      </c>
      <c r="J12" s="410">
        <v>15</v>
      </c>
    </row>
    <row customHeight="1" ht="12.75">
      <c r="C13" s="433"/>
      <c r="D13" s="603"/>
      <c r="E13" s="604" t="s">
        <v>2014</v>
      </c>
      <c r="J13" s="410">
        <v>12</v>
      </c>
    </row>
    <row customHeight="1" ht="3">
      <c r="J14" s="410">
        <v>3</v>
      </c>
    </row>
    <row customHeight="1" ht="23.25">
      <c r="C15" s="478"/>
      <c r="D15" s="2840" t="s">
        <v>2015</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79CF5-5178-EB11-313A-1A22378DEB8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7356" width="9.140625" hidden="1"/>
    <col min="3" max="3" style="27357" width="3.00390625" customWidth="1"/>
    <col min="4" max="4" style="27356" width="6.00390625" customWidth="1"/>
    <col min="5" max="5" style="27356" width="94.00390625" customWidth="1"/>
    <col min="6" max="12" style="27356" width="8.00390625" customWidth="1"/>
    <col min="13" max="13" style="27356"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2016</v>
      </c>
      <c r="E7" s="2441"/>
      <c r="F7" s="608"/>
      <c r="M7" s="410">
        <v>22</v>
      </c>
    </row>
    <row customHeight="1" ht="3">
      <c r="C8" s="433"/>
      <c r="D8" s="411"/>
      <c r="E8" s="411"/>
      <c r="M8" s="410">
        <v>3</v>
      </c>
    </row>
    <row customHeight="1" ht="16.8">
      <c r="C9" s="433"/>
      <c r="D9" s="446" t="s">
        <v>88</v>
      </c>
      <c r="E9" s="449" t="s">
        <v>401</v>
      </c>
      <c r="M9" s="410">
        <v>16</v>
      </c>
    </row>
    <row customHeight="1" ht="12.75">
      <c r="C10" s="433"/>
      <c r="D10" s="428" t="s">
        <v>145</v>
      </c>
      <c r="E10" s="428" t="s">
        <v>103</v>
      </c>
      <c r="M10" s="410">
        <v>12</v>
      </c>
    </row>
    <row customHeight="1" ht="15" hidden="1">
      <c r="C11" s="433"/>
      <c r="D11" s="454">
        <v>0</v>
      </c>
      <c r="E11" s="490"/>
      <c r="M11" s="410">
        <v>0</v>
      </c>
    </row>
    <row customHeight="1" ht="14.699999999999998">
      <c r="C12" s="433"/>
      <c r="D12" s="450"/>
      <c r="E12" s="448" t="s">
        <v>2014</v>
      </c>
      <c r="M12" s="410">
        <v>14</v>
      </c>
    </row>
    <row customHeight="1" ht="14.25" hidden="1">
      <c r="A13" s="410" t="s">
        <v>82</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F4CD5-09DC-24C2-2C15-836847768F6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1748" width="1.7109375" customWidth="1"/>
    <col min="2" max="2" style="21748" width="34.57421875" customWidth="1"/>
    <col min="3" max="3" style="21748" width="85.00390625" customWidth="1"/>
    <col min="4" max="4" style="21748" width="17.00390625" customWidth="1"/>
    <col min="5" max="5" style="21748" width="8.00390625" customWidth="1"/>
    <col min="6" max="6" style="21748" width="9.140625" hidden="1"/>
  </cols>
  <sheetData>
    <row customHeight="1" ht="3">
      <c r="F1" s="430" t="s">
        <v>14</v>
      </c>
    </row>
    <row customHeight="1" ht="22.5">
      <c r="B2" s="2954" t="s">
        <v>2017</v>
      </c>
      <c r="C2" s="2841"/>
      <c r="D2" s="2841"/>
      <c r="E2" s="609"/>
      <c r="F2" s="430">
        <v>22</v>
      </c>
    </row>
    <row customHeight="1" ht="3">
      <c r="F3" s="430">
        <v>3</v>
      </c>
    </row>
    <row customHeight="1" ht="23.25">
      <c r="B4" s="2955" t="s">
        <v>2018</v>
      </c>
      <c r="C4" s="724" t="s">
        <v>2019</v>
      </c>
      <c r="D4" s="724" t="s">
        <v>2020</v>
      </c>
      <c r="F4" s="430">
        <v>22</v>
      </c>
    </row>
    <row customHeight="1" ht="11.25" hidden="1">
      <c r="A5" s="430" t="s">
        <v>82</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6F36-C8D6-D36F-0CBC-7EB5E30DF7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1748" width="26.57421875" customWidth="1"/>
    <col min="2" max="2" style="21748" width="10.00390625" customWidth="1"/>
    <col min="3" max="3" style="21748" width="9.140625"/>
    <col min="4" max="4" style="21748" width="11.140625" customWidth="1"/>
    <col min="5" max="5" style="21748" width="16.57421875" customWidth="1"/>
    <col min="6" max="6" style="21748" width="16.28125" customWidth="1"/>
    <col min="7" max="7" style="21748" width="19.140625" customWidth="1"/>
    <col min="8" max="11" style="21748" width="10.00390625" customWidth="1"/>
    <col min="12" max="12" style="21748" width="12.7109375" customWidth="1"/>
    <col min="13" max="13" style="21748" width="61.28125" customWidth="1"/>
    <col min="14" max="14" style="21748" width="10.00390625" customWidth="1"/>
    <col min="15" max="17" style="21748" width="23.7109375" customWidth="1"/>
    <col min="18" max="18" style="21748" width="11.7109375" customWidth="1"/>
    <col min="19" max="19" style="21748" width="8.57421875" customWidth="1"/>
    <col min="20" max="20" style="21748" width="11.7109375" customWidth="1"/>
    <col min="21" max="21" style="21748" width="8.57421875" customWidth="1"/>
    <col min="22" max="22" style="21748" width="4.7109375" customWidth="1"/>
    <col min="23" max="23" style="21748" width="115.7109375" customWidth="1"/>
    <col min="24" max="24" style="21748" width="115.28125" customWidth="1"/>
    <col min="25" max="27" style="21748" width="9.140625"/>
    <col min="28" max="28" style="21748" width="115.7109375" customWidth="1"/>
    <col min="29" max="29" style="21748" width="9.140625"/>
    <col min="30" max="90" style="21748" width="115.7109375" customWidth="1"/>
    <col min="91" max="184" style="21748" width="9.140625"/>
  </cols>
  <sheetData>
    <row r="2" s="27367" customFormat="1" customHeight="1" ht="17.25">
      <c r="A2" s="2156" t="s">
        <v>2021</v>
      </c>
    </row>
    <row r="4" s="27356" customFormat="1" customHeight="1" ht="15">
      <c r="C4" s="2157"/>
      <c r="D4" s="454"/>
      <c r="E4" s="718"/>
    </row>
    <row r="6" s="27367" customFormat="1" customHeight="1" ht="17.25">
      <c r="A6" s="2156" t="s">
        <v>2022</v>
      </c>
    </row>
    <row r="8" s="27356" customFormat="1" customHeight="1" ht="17.25">
      <c r="C8" s="2158"/>
      <c r="D8" s="454"/>
      <c r="E8" s="455"/>
    </row>
    <row r="11" s="27367" customFormat="1" customHeight="1" ht="17.25">
      <c r="A11" s="2156" t="s">
        <v>2023</v>
      </c>
    </row>
    <row r="13" s="21703" customFormat="1" customHeight="1" ht="15">
      <c r="A13" s="2558">
        <v>1</v>
      </c>
      <c r="B13" s="1501"/>
      <c r="C13" s="1142" t="s">
        <v>104</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21748"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21748"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27367" customFormat="1" customHeight="1" ht="17.25">
      <c r="A17" s="2156" t="s">
        <v>2024</v>
      </c>
    </row>
    <row r="19" s="21748" customFormat="1" customHeight="1" ht="15">
      <c r="A19" s="2223"/>
      <c r="B19" s="1707">
        <v>1</v>
      </c>
      <c r="C19" s="1707"/>
      <c r="D19" s="1141" t="s">
        <v>104</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21748" customFormat="1" customHeight="1" ht="15">
      <c r="A21" s="2156" t="s">
        <v>2025</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21748" customFormat="1" customHeight="1" ht="15">
      <c r="U22" s="526"/>
    </row>
    <row s="21825" customFormat="1" customHeight="1" ht="15">
      <c r="A23" s="764"/>
      <c r="B23" s="764"/>
      <c r="C23" s="2069" t="s">
        <v>104</v>
      </c>
      <c r="D23" s="2449" t="s">
        <v>145</v>
      </c>
      <c r="E23" s="2450"/>
      <c r="F23" s="2448" t="s">
        <v>19</v>
      </c>
      <c r="G23" s="2898"/>
      <c r="H23" s="2468">
        <v>1</v>
      </c>
      <c r="I23" s="2900" t="str">
        <f>IF(U23="","",INDEX(TERRITORY_MR_LIST,MATCH(U23,TERRITORY_LIST_ID,0)))</f>
        <v/>
      </c>
      <c r="J23" s="2448" t="s">
        <v>19</v>
      </c>
      <c r="K23" s="1173"/>
      <c r="L23" s="2123" t="s">
        <v>145</v>
      </c>
      <c r="M23" s="944"/>
      <c r="N23" s="945"/>
      <c r="O23" s="945"/>
      <c r="P23" s="945"/>
      <c r="Q23" s="945"/>
      <c r="R23" s="945"/>
      <c r="S23" s="945"/>
      <c r="T23" s="945"/>
      <c r="U23" s="946"/>
      <c r="V23" s="945"/>
      <c r="W23" s="945"/>
      <c r="X23" s="936"/>
      <c r="Y23" s="936" t="s">
        <v>159</v>
      </c>
      <c r="Z23" s="936">
        <v>1705000</v>
      </c>
      <c r="AA23" s="936"/>
      <c r="AB23" s="936"/>
      <c r="AC23" s="936"/>
      <c r="AD23" s="936"/>
      <c r="AE23" s="936"/>
      <c r="AF23" s="936"/>
      <c r="AG23" s="936"/>
      <c r="AH23" s="936"/>
      <c r="AI23" s="936"/>
      <c r="AJ23" s="936"/>
      <c r="AK23" s="936"/>
      <c r="AL23" s="936"/>
    </row>
    <row s="21825" customFormat="1" customHeight="1" ht="15">
      <c r="A24" s="764"/>
      <c r="B24" s="764"/>
      <c r="C24" s="517"/>
      <c r="D24" s="2449"/>
      <c r="E24" s="2451"/>
      <c r="F24" s="2448"/>
      <c r="G24" s="2899"/>
      <c r="H24" s="2468"/>
      <c r="I24" s="2901"/>
      <c r="J24" s="2448"/>
      <c r="K24" s="762"/>
      <c r="L24" s="518"/>
      <c r="M24" s="948" t="s">
        <v>160</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21825" customFormat="1" customHeight="1" ht="15">
      <c r="A25" s="764"/>
      <c r="B25" s="764"/>
      <c r="C25" s="517"/>
      <c r="D25" s="2449"/>
      <c r="E25" s="2452"/>
      <c r="F25" s="2448"/>
      <c r="G25" s="762"/>
      <c r="H25" s="518"/>
      <c r="I25" s="921" t="s">
        <v>161</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21748" customFormat="1" customHeight="1" ht="15">
      <c r="U26" s="526"/>
    </row>
    <row s="21748" customFormat="1" customHeight="1" ht="15">
      <c r="A27" s="2156" t="s">
        <v>2026</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21748" customFormat="1" customHeight="1" ht="15">
      <c r="U28" s="526"/>
    </row>
    <row s="21825" customFormat="1" customHeight="1" ht="15">
      <c r="A29" s="764"/>
      <c r="B29" s="764"/>
      <c r="C29" s="517"/>
      <c r="D29" s="2162"/>
      <c r="E29" s="2162"/>
      <c r="F29" s="2162"/>
      <c r="G29" s="2902" t="s">
        <v>104</v>
      </c>
      <c r="H29" s="2444">
        <v>1</v>
      </c>
      <c r="I29" s="2903" t="str">
        <f>IF(U29="","",INDEX(TERRITORY_MR_LIST,MATCH(U29,TERRITORY_LIST_ID,0)))</f>
        <v/>
      </c>
      <c r="J29" s="2448" t="s">
        <v>19</v>
      </c>
      <c r="K29" s="1173"/>
      <c r="L29" s="2123" t="s">
        <v>145</v>
      </c>
      <c r="M29" s="944"/>
      <c r="N29" s="945"/>
      <c r="O29" s="945"/>
      <c r="P29" s="945"/>
      <c r="Q29" s="945"/>
      <c r="R29" s="945"/>
      <c r="S29" s="945"/>
      <c r="T29" s="945"/>
      <c r="U29" s="946"/>
      <c r="V29" s="945"/>
      <c r="W29" s="945"/>
      <c r="X29" s="936"/>
      <c r="Y29" s="936" t="s">
        <v>159</v>
      </c>
      <c r="Z29" s="936">
        <v>1705000</v>
      </c>
      <c r="AA29" s="936"/>
      <c r="AB29" s="936"/>
      <c r="AC29" s="936"/>
      <c r="AD29" s="936"/>
      <c r="AE29" s="936"/>
      <c r="AF29" s="936"/>
      <c r="AG29" s="936"/>
      <c r="AH29" s="936"/>
      <c r="AI29" s="936"/>
      <c r="AJ29" s="936"/>
      <c r="AK29" s="936"/>
      <c r="AL29" s="936"/>
    </row>
    <row s="21825" customFormat="1" customHeight="1" ht="15">
      <c r="A30" s="764"/>
      <c r="B30" s="764"/>
      <c r="C30" s="517"/>
      <c r="D30" s="2162"/>
      <c r="E30" s="2162"/>
      <c r="F30" s="2162"/>
      <c r="G30" s="2902"/>
      <c r="H30" s="2444"/>
      <c r="I30" s="2903"/>
      <c r="J30" s="2448"/>
      <c r="K30" s="762"/>
      <c r="L30" s="518"/>
      <c r="M30" s="948" t="s">
        <v>160</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21748" customFormat="1" customHeight="1" ht="15">
      <c r="U31" s="526"/>
    </row>
    <row s="21748" customFormat="1" customHeight="1" ht="15">
      <c r="A32" s="2156" t="s">
        <v>2027</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21748" customFormat="1" customHeight="1" ht="15">
      <c r="U33" s="526"/>
    </row>
    <row s="21825" customFormat="1" customHeight="1" ht="15">
      <c r="A34" s="764"/>
      <c r="B34" s="764"/>
      <c r="C34" s="517"/>
      <c r="D34" s="2162"/>
      <c r="E34" s="2162"/>
      <c r="F34" s="2162"/>
      <c r="G34" s="2162"/>
      <c r="H34" s="2162"/>
      <c r="I34" s="2162"/>
      <c r="J34" s="2162"/>
      <c r="K34" s="2140" t="s">
        <v>104</v>
      </c>
      <c r="L34" s="2070" t="s">
        <v>145</v>
      </c>
      <c r="M34" s="1152"/>
      <c r="N34" s="1153"/>
      <c r="O34" s="945"/>
      <c r="P34" s="945"/>
      <c r="Q34" s="945"/>
      <c r="R34" s="945"/>
      <c r="S34" s="945"/>
      <c r="T34" s="945"/>
      <c r="U34" s="946"/>
      <c r="V34" s="945"/>
      <c r="W34" s="945"/>
      <c r="X34" s="936"/>
      <c r="Y34" s="936" t="s">
        <v>159</v>
      </c>
      <c r="Z34" s="936">
        <v>1705000</v>
      </c>
      <c r="AA34" s="936"/>
      <c r="AB34" s="936"/>
      <c r="AC34" s="936"/>
      <c r="AD34" s="936"/>
      <c r="AE34" s="936"/>
      <c r="AF34" s="936"/>
      <c r="AG34" s="936"/>
      <c r="AH34" s="936"/>
      <c r="AI34" s="936"/>
      <c r="AJ34" s="936"/>
      <c r="AK34" s="936"/>
      <c r="AL34" s="936"/>
    </row>
    <row s="21748" customFormat="1" customHeight="1" ht="15">
      <c r="U35" s="526"/>
    </row>
    <row s="21748" customFormat="1" customHeight="1" ht="15">
      <c r="U36" s="526"/>
    </row>
    <row s="27367" customFormat="1" customHeight="1" ht="11.25">
      <c r="A37" s="2156" t="s">
        <v>2028</v>
      </c>
    </row>
    <row customHeight="1" ht="11.25"/>
    <row s="22306" customFormat="1" customHeight="1" ht="22.5">
      <c r="A39" s="2132"/>
      <c r="B39" s="798"/>
      <c r="C39" s="1200"/>
      <c r="D39" s="781"/>
      <c r="E39" s="1201"/>
      <c r="F39" s="2153"/>
      <c r="G39" s="2163"/>
      <c r="H39" s="816"/>
    </row>
    <row customHeight="1" ht="11.25"/>
    <row s="27367" customFormat="1" customHeight="1" ht="11.25">
      <c r="A41" s="2156" t="s">
        <v>2029</v>
      </c>
    </row>
    <row customHeight="1" ht="11.25"/>
    <row s="22306" customFormat="1" customHeight="1" ht="22.5">
      <c r="A43" s="798"/>
      <c r="B43" s="798"/>
      <c r="C43" s="798"/>
      <c r="D43" s="781"/>
      <c r="E43" s="1201"/>
      <c r="F43" s="1202"/>
      <c r="G43" s="2163"/>
      <c r="H43" s="816"/>
    </row>
    <row customHeight="1" ht="11.25"/>
    <row s="27367" customFormat="1" customHeight="1" ht="11.25">
      <c r="A45" s="2156" t="s">
        <v>2030</v>
      </c>
    </row>
    <row customHeight="1" ht="11.25"/>
    <row s="22306" customFormat="1" customHeight="1" ht="24">
      <c r="A47" s="2543" t="s">
        <v>427</v>
      </c>
      <c r="B47" s="843"/>
      <c r="C47" s="2554"/>
      <c r="D47" s="786" t="str">
        <f>A47</f>
        <v>5.1</v>
      </c>
      <c r="E47" s="783" t="s">
        <v>428</v>
      </c>
      <c r="F47" s="2317" t="s">
        <v>420</v>
      </c>
      <c r="G47" s="785" t="s">
        <v>429</v>
      </c>
      <c r="H47" s="816"/>
      <c r="I47" s="1193"/>
    </row>
    <row s="22306" customFormat="1" customHeight="1" ht="22.5">
      <c r="A48" s="2543"/>
      <c r="B48" s="843"/>
      <c r="C48" s="2554"/>
      <c r="D48" s="781" t="str">
        <f>D47&amp;".1"</f>
        <v>5.1.1</v>
      </c>
      <c r="E48" s="780" t="s">
        <v>430</v>
      </c>
      <c r="F48" s="2318" t="s">
        <v>28</v>
      </c>
      <c r="G48" s="815"/>
      <c r="H48" s="816"/>
      <c r="I48" s="1193"/>
    </row>
    <row s="22306" customFormat="1" customHeight="1" ht="22.5">
      <c r="A49" s="2543"/>
      <c r="B49" s="843"/>
      <c r="C49" s="2554"/>
      <c r="D49" s="781" t="str">
        <f>D47&amp;".2"</f>
        <v>5.1.2</v>
      </c>
      <c r="E49" s="780" t="s">
        <v>431</v>
      </c>
      <c r="F49" s="2073" t="s">
        <v>28</v>
      </c>
      <c r="G49" s="785" t="s">
        <v>432</v>
      </c>
      <c r="H49" s="816"/>
      <c r="I49" s="1193"/>
    </row>
    <row s="22306" customFormat="1" customHeight="1" ht="22.5">
      <c r="A50" s="2543"/>
      <c r="B50" s="843"/>
      <c r="C50" s="2554"/>
      <c r="D50" s="781" t="str">
        <f>D47&amp;".3"</f>
        <v>5.1.3</v>
      </c>
      <c r="E50" s="780" t="s">
        <v>433</v>
      </c>
      <c r="F50" s="2318" t="s">
        <v>28</v>
      </c>
      <c r="G50" s="815"/>
      <c r="H50" s="816"/>
      <c r="I50" s="1193"/>
    </row>
    <row s="22306" customFormat="1" customHeight="1" ht="22.5">
      <c r="A51" s="2543"/>
      <c r="B51" s="843"/>
      <c r="C51" s="2554"/>
      <c r="D51" s="781" t="str">
        <f>D47&amp;".4"</f>
        <v>5.1.4</v>
      </c>
      <c r="E51" s="780" t="s">
        <v>434</v>
      </c>
      <c r="F51" s="2318" t="s">
        <v>28</v>
      </c>
      <c r="G51" s="785" t="s">
        <v>435</v>
      </c>
      <c r="H51" s="816"/>
      <c r="I51" s="1193"/>
    </row>
    <row r="54" s="27367" customFormat="1" customHeight="1" ht="17.25">
      <c r="A54" s="2156" t="s">
        <v>2031</v>
      </c>
    </row>
    <row r="56" s="21580" customFormat="1" customHeight="1" ht="18.75">
      <c r="A56" s="430"/>
      <c r="B56" s="2164"/>
      <c r="C56" s="2164"/>
      <c r="D56" s="2165"/>
      <c r="E56" s="2150"/>
      <c r="F56" s="1209">
        <v>13</v>
      </c>
      <c r="G56" s="1208"/>
      <c r="H56" s="1134"/>
      <c r="I56" s="1132"/>
      <c r="J56" s="861" t="s">
        <v>66</v>
      </c>
      <c r="K56" s="2166" t="s">
        <v>28</v>
      </c>
      <c r="L56" s="430"/>
      <c r="M56" s="1977"/>
      <c r="N56" s="1977"/>
      <c r="O56" s="1977"/>
      <c r="P56" s="857" t="s">
        <v>506</v>
      </c>
      <c r="Q56" s="857" t="s">
        <v>507</v>
      </c>
      <c r="R56" s="858" t="s">
        <v>508</v>
      </c>
      <c r="S56" s="1977" t="s">
        <v>509</v>
      </c>
      <c r="T56" s="1977"/>
      <c r="U56" s="1977"/>
      <c r="V56" s="1977"/>
    </row>
    <row r="58" s="27367" customFormat="1" customHeight="1" ht="11.25">
      <c r="A58" s="2156" t="s">
        <v>2032</v>
      </c>
    </row>
    <row r="60" s="21605"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495</v>
      </c>
      <c r="AQ60" s="1965" t="s">
        <v>495</v>
      </c>
      <c r="AR60" s="1977"/>
      <c r="AS60" s="1977"/>
    </row>
    <row r="62" s="27367" customFormat="1" customHeight="1" ht="11.25">
      <c r="A62" s="2156" t="s">
        <v>2033</v>
      </c>
    </row>
    <row r="64" s="27034" customFormat="1" customHeight="1" ht="15">
      <c r="A64" s="486" t="s">
        <v>90</v>
      </c>
      <c r="B64" s="466" t="s">
        <v>28</v>
      </c>
      <c r="C64" s="2167"/>
      <c r="D64" s="469"/>
      <c r="E64" s="722"/>
      <c r="F64" s="722"/>
      <c r="G64" s="2144"/>
      <c r="H64" s="2166"/>
      <c r="I64" s="2145"/>
      <c r="K64" s="613"/>
      <c r="L64" s="614"/>
    </row>
    <row r="66" s="27367" customFormat="1" customHeight="1" ht="11.25">
      <c r="A66" s="2156" t="s">
        <v>2034</v>
      </c>
    </row>
    <row r="68" s="21605" customFormat="1" customHeight="1" ht="14.25">
      <c r="A68" s="684"/>
      <c r="B68" s="1501"/>
      <c r="C68" s="717"/>
      <c r="D68" s="2151"/>
      <c r="E68" s="1227"/>
      <c r="F68" s="2166"/>
      <c r="G68" s="430"/>
      <c r="I68" s="1965"/>
      <c r="J68" s="1965"/>
    </row>
    <row r="70" s="27367" customFormat="1" customHeight="1" ht="11.25">
      <c r="A70" s="2156" t="s">
        <v>2035</v>
      </c>
    </row>
    <row r="72" s="21605"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2036</v>
      </c>
    </row>
    <row s="21605"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2037</v>
      </c>
    </row>
    <row r="75" s="27367" customFormat="1" customHeight="1" ht="11.25">
      <c r="A75" s="2156" t="s">
        <v>2038</v>
      </c>
    </row>
    <row r="77" s="21605"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2036</v>
      </c>
    </row>
    <row r="79" s="27367" customFormat="1" customHeight="1" ht="11.25">
      <c r="A79" s="2156" t="s">
        <v>2039</v>
      </c>
    </row>
    <row customHeight="1" ht="17.25"/>
    <row s="21605"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21605" customFormat="1" customHeight="1" ht="0.75">
      <c r="A82" s="1507"/>
      <c r="B82" s="1507"/>
      <c r="C82" s="1507"/>
      <c r="D82" s="1501"/>
      <c r="E82" s="1511"/>
      <c r="F82" s="2877"/>
      <c r="G82" s="2856"/>
      <c r="H82" s="2881" t="s">
        <v>490</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21605"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21605"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21605"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21605"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21605" customFormat="1" customHeight="1" ht="12">
      <c r="A87" s="1507"/>
      <c r="B87" s="1507"/>
      <c r="C87" s="1507"/>
      <c r="D87" s="1501"/>
      <c r="E87" s="1511"/>
      <c r="F87" s="2878"/>
      <c r="G87" s="1531"/>
      <c r="H87" s="1531"/>
      <c r="I87" s="2876" t="s">
        <v>2040</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27367" customFormat="1" customHeight="1" ht="11.25">
      <c r="A89" s="2156" t="s">
        <v>2041</v>
      </c>
    </row>
    <row r="91" s="21605"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21605"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21605"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2042</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27367" customFormat="1" customHeight="1" ht="11.25">
      <c r="A95" s="2156" t="s">
        <v>2043</v>
      </c>
    </row>
    <row r="97" s="21605"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27367" customFormat="1" customHeight="1" ht="11.25">
      <c r="A99" s="2156" t="s">
        <v>2044</v>
      </c>
    </row>
    <row r="101" s="21605" customFormat="1" customHeight="1" ht="11.25">
      <c r="A101" s="1507"/>
      <c r="B101" s="1507"/>
      <c r="C101" s="1507"/>
      <c r="D101" s="1501"/>
      <c r="E101" s="1511"/>
      <c r="F101" s="2170"/>
      <c r="G101" s="2171"/>
      <c r="H101" s="2856" t="s">
        <v>145</v>
      </c>
      <c r="I101" s="2857"/>
      <c r="J101" s="2826"/>
      <c r="K101" s="2858"/>
      <c r="L101" s="2448" t="s">
        <v>19</v>
      </c>
      <c r="M101" s="2449"/>
      <c r="N101" s="2327"/>
      <c r="O101" s="1518" t="s">
        <v>490</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21605"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21605"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21605"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2042</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21605" customFormat="1" customHeight="1" ht="11.25">
      <c r="A105" s="1507"/>
      <c r="B105" s="1507"/>
      <c r="C105" s="1507"/>
      <c r="D105" s="1501"/>
      <c r="E105" s="1511"/>
      <c r="F105" s="2170"/>
      <c r="G105" s="2171"/>
      <c r="H105" s="2856"/>
      <c r="I105" s="2857"/>
      <c r="J105" s="2826"/>
      <c r="K105" s="2858"/>
      <c r="L105" s="2448"/>
      <c r="M105" s="2449"/>
      <c r="N105" s="1516"/>
      <c r="O105" s="1517"/>
      <c r="P105" s="1509" t="s">
        <v>2045</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27367" customFormat="1" customHeight="1" ht="11.25">
      <c r="A107" s="2156" t="s">
        <v>2046</v>
      </c>
    </row>
    <row customHeight="1" ht="17.25"/>
    <row s="26881"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26881"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26881" customFormat="1" customHeight="1" ht="12">
      <c r="A111" s="1265"/>
      <c r="B111" s="1264"/>
      <c r="C111" s="1265"/>
      <c r="D111" s="1265"/>
      <c r="E111" s="1265"/>
      <c r="F111" s="1554"/>
      <c r="G111" s="2141" t="s">
        <v>2047</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27367" customFormat="1" customHeight="1" ht="11.25">
      <c r="A113" s="2156" t="s">
        <v>2048</v>
      </c>
    </row>
    <row r="115" s="21748" customFormat="1" customHeight="1" ht="15">
      <c r="A115" s="964"/>
      <c r="B115" s="965"/>
      <c r="C115" s="965"/>
      <c r="D115" s="2919" t="s">
        <v>145</v>
      </c>
      <c r="E115" s="2718" t="s">
        <v>150</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721</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21748" customFormat="1" customHeight="1" ht="15">
      <c r="A116" s="964"/>
      <c r="B116" s="965"/>
      <c r="C116" s="965"/>
      <c r="D116" s="2920"/>
      <c r="E116" s="2718" t="s">
        <v>676</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21748" customFormat="1" customHeight="1" ht="15">
      <c r="A117" s="964"/>
      <c r="B117" s="965"/>
      <c r="C117" s="965"/>
      <c r="D117" s="2920"/>
      <c r="E117" s="2718" t="s">
        <v>677</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21748" customFormat="1" customHeight="1" ht="24.75">
      <c r="A118" s="2147"/>
      <c r="B118" s="1501"/>
      <c r="C118" s="753"/>
      <c r="D118" s="2920"/>
      <c r="E118" s="2717" t="s">
        <v>722</v>
      </c>
      <c r="F118" s="2717"/>
      <c r="G118" s="2717"/>
      <c r="H118" s="2717"/>
      <c r="I118" s="2717"/>
      <c r="J118" s="2717"/>
      <c r="K118" s="2717"/>
      <c r="L118" s="2717"/>
      <c r="M118" s="2717"/>
      <c r="N118" s="2717"/>
      <c r="O118" s="2717"/>
      <c r="P118" s="2717"/>
      <c r="Q118" s="899">
        <f>SUMIF(T119:T120,"i",Q119:Q120)</f>
        <v>0</v>
      </c>
      <c r="R118" s="1358"/>
      <c r="S118" s="2139" t="s">
        <v>723</v>
      </c>
      <c r="T118" s="1058" t="s">
        <v>724</v>
      </c>
      <c r="U118" s="2715">
        <v>1</v>
      </c>
      <c r="V118" s="2715" t="s">
        <v>687</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21748"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21748" customFormat="1" customHeight="1" ht="11.25">
      <c r="A120" s="2147"/>
      <c r="B120" s="1501"/>
      <c r="C120" s="753"/>
      <c r="D120" s="2920"/>
      <c r="E120" s="990" t="s">
        <v>28</v>
      </c>
      <c r="F120" s="1509" t="s">
        <v>28</v>
      </c>
      <c r="G120" s="1509" t="s">
        <v>2049</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21748" customFormat="1" customHeight="1" ht="24.75">
      <c r="A121" s="2147"/>
      <c r="B121" s="1501"/>
      <c r="C121" s="753"/>
      <c r="D121" s="2920"/>
      <c r="E121" s="2717" t="s">
        <v>725</v>
      </c>
      <c r="F121" s="2717"/>
      <c r="G121" s="2717"/>
      <c r="H121" s="2717"/>
      <c r="I121" s="2717"/>
      <c r="J121" s="2717"/>
      <c r="K121" s="2717"/>
      <c r="L121" s="2717"/>
      <c r="M121" s="2717"/>
      <c r="N121" s="2717"/>
      <c r="O121" s="2717"/>
      <c r="P121" s="2717"/>
      <c r="Q121" s="899">
        <f>SUMIF(T122:T123,"i",Q122:Q123)</f>
        <v>0</v>
      </c>
      <c r="R121" s="1358"/>
      <c r="S121" s="2139" t="s">
        <v>726</v>
      </c>
      <c r="T121" s="1058" t="s">
        <v>724</v>
      </c>
      <c r="U121" s="2715">
        <v>1</v>
      </c>
      <c r="V121" s="2715" t="s">
        <v>687</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21748"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21748" customFormat="1" customHeight="1" ht="11.25">
      <c r="A123" s="2147"/>
      <c r="B123" s="1501"/>
      <c r="C123" s="753"/>
      <c r="D123" s="2921"/>
      <c r="E123" s="990" t="s">
        <v>28</v>
      </c>
      <c r="F123" s="1509" t="s">
        <v>28</v>
      </c>
      <c r="G123" s="1509" t="s">
        <v>2049</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27367" customFormat="1" customHeight="1" ht="11.25">
      <c r="A125" s="2156" t="s">
        <v>2050</v>
      </c>
    </row>
    <row r="127" s="21748" customFormat="1" customHeight="1" ht="15">
      <c r="A127" s="964"/>
      <c r="B127" s="965"/>
      <c r="C127" s="965"/>
      <c r="D127" s="2919" t="s">
        <v>145</v>
      </c>
      <c r="E127" s="2718" t="s">
        <v>150</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721</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21748" customFormat="1" customHeight="1" ht="15">
      <c r="A128" s="964"/>
      <c r="B128" s="965"/>
      <c r="C128" s="965"/>
      <c r="D128" s="2920"/>
      <c r="E128" s="2718" t="s">
        <v>676</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21748" customFormat="1" customHeight="1" ht="15">
      <c r="A129" s="964"/>
      <c r="B129" s="965"/>
      <c r="C129" s="965"/>
      <c r="D129" s="2920"/>
      <c r="E129" s="2718" t="s">
        <v>677</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21748" customFormat="1" customHeight="1" ht="24.75">
      <c r="A130" s="2147"/>
      <c r="B130" s="1501"/>
      <c r="C130" s="753"/>
      <c r="D130" s="2920"/>
      <c r="E130" s="2717" t="s">
        <v>722</v>
      </c>
      <c r="F130" s="2717"/>
      <c r="G130" s="2717"/>
      <c r="H130" s="2717"/>
      <c r="I130" s="2717"/>
      <c r="J130" s="2717"/>
      <c r="K130" s="2717"/>
      <c r="L130" s="2717"/>
      <c r="M130" s="2717"/>
      <c r="N130" s="2717"/>
      <c r="O130" s="2717"/>
      <c r="P130" s="2717"/>
      <c r="Q130" s="899">
        <f>SUMIF(T131:T132,"i",Q131:Q132)</f>
        <v>0</v>
      </c>
      <c r="R130" s="1358"/>
      <c r="S130" s="2139" t="s">
        <v>723</v>
      </c>
      <c r="T130" s="1058" t="s">
        <v>724</v>
      </c>
      <c r="U130" s="2715">
        <v>1</v>
      </c>
      <c r="V130" s="2715" t="s">
        <v>687</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21748"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21748" customFormat="1" customHeight="1" ht="11.25">
      <c r="A132" s="2147"/>
      <c r="B132" s="1501"/>
      <c r="C132" s="753"/>
      <c r="D132" s="2920"/>
      <c r="E132" s="990" t="s">
        <v>28</v>
      </c>
      <c r="F132" s="1509" t="s">
        <v>28</v>
      </c>
      <c r="G132" s="1509" t="s">
        <v>2049</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22143"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724</v>
      </c>
      <c r="U133" s="2715">
        <v>1</v>
      </c>
      <c r="V133" s="2715" t="s">
        <v>687</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22143"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22143"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27367" customFormat="1" customHeight="1" ht="11.25">
      <c r="A137" s="2156" t="s">
        <v>2051</v>
      </c>
    </row>
    <row r="139" s="21748" customFormat="1" customHeight="1" ht="45">
      <c r="A139" s="2147"/>
      <c r="B139" s="1501"/>
      <c r="C139" s="753"/>
      <c r="D139" s="430"/>
      <c r="E139" s="2913"/>
      <c r="F139" s="2449" t="s">
        <v>145</v>
      </c>
      <c r="G139" s="2916" t="s">
        <v>28</v>
      </c>
      <c r="H139" s="630"/>
      <c r="I139" s="978" t="s">
        <v>145</v>
      </c>
      <c r="J139" s="2148" t="s">
        <v>2052</v>
      </c>
      <c r="K139" s="979" t="s">
        <v>658</v>
      </c>
      <c r="L139" s="2565" t="s">
        <v>658</v>
      </c>
      <c r="M139" s="2918"/>
      <c r="N139" s="979" t="s">
        <v>658</v>
      </c>
      <c r="O139" s="979" t="s">
        <v>658</v>
      </c>
      <c r="P139" s="979" t="s">
        <v>658</v>
      </c>
      <c r="Q139" s="980">
        <f>SUM(Q140:Q142)</f>
        <v>0</v>
      </c>
      <c r="R139" s="980">
        <f>IF(R136=0,0,(Q136/R136)*100)</f>
        <v>0</v>
      </c>
      <c r="S139" s="2520"/>
      <c r="T139" s="1058" t="s">
        <v>724</v>
      </c>
      <c r="U139" s="430"/>
      <c r="V139" s="430"/>
      <c r="AC139" s="430"/>
    </row>
    <row s="21748" customFormat="1" customHeight="1" ht="11.25">
      <c r="A140" s="2147"/>
      <c r="B140" s="1501"/>
      <c r="C140" s="753"/>
      <c r="D140" s="430"/>
      <c r="E140" s="2914"/>
      <c r="F140" s="2449"/>
      <c r="G140" s="2916"/>
      <c r="H140" s="2468"/>
      <c r="I140" s="2856" t="s">
        <v>1133</v>
      </c>
      <c r="J140" s="2910"/>
      <c r="K140" s="2911"/>
      <c r="L140" s="981"/>
      <c r="M140" s="982" t="s">
        <v>145</v>
      </c>
      <c r="N140" s="2136"/>
      <c r="O140" s="983"/>
      <c r="P140" s="984"/>
      <c r="Q140" s="983"/>
      <c r="R140" s="985">
        <v>0</v>
      </c>
      <c r="S140" s="2520"/>
      <c r="T140" s="1058"/>
      <c r="U140" s="430"/>
      <c r="V140" s="430"/>
      <c r="AC140" s="430"/>
    </row>
    <row s="21748" customFormat="1" customHeight="1" ht="11.25">
      <c r="A141" s="2147"/>
      <c r="B141" s="1501"/>
      <c r="C141" s="753"/>
      <c r="D141" s="430"/>
      <c r="E141" s="2914"/>
      <c r="F141" s="2449"/>
      <c r="G141" s="2916"/>
      <c r="H141" s="2468"/>
      <c r="I141" s="2856"/>
      <c r="J141" s="2910"/>
      <c r="K141" s="2912"/>
      <c r="L141" s="986"/>
      <c r="M141" s="987"/>
      <c r="N141" s="988" t="s">
        <v>2053</v>
      </c>
      <c r="O141" s="988"/>
      <c r="P141" s="988"/>
      <c r="Q141" s="988"/>
      <c r="R141" s="989"/>
      <c r="S141" s="2520"/>
      <c r="T141" s="1058"/>
      <c r="U141" s="430"/>
      <c r="V141" s="430"/>
      <c r="AC141" s="430"/>
    </row>
    <row s="21748" customFormat="1" customHeight="1" ht="11.25">
      <c r="A142" s="2147"/>
      <c r="B142" s="1501"/>
      <c r="C142" s="753"/>
      <c r="D142" s="430"/>
      <c r="E142" s="2915"/>
      <c r="F142" s="2449"/>
      <c r="G142" s="2917"/>
      <c r="H142" s="986" t="s">
        <v>28</v>
      </c>
      <c r="I142" s="987"/>
      <c r="J142" s="988" t="s">
        <v>2054</v>
      </c>
      <c r="K142" s="988"/>
      <c r="L142" s="988"/>
      <c r="M142" s="988"/>
      <c r="N142" s="988"/>
      <c r="O142" s="988"/>
      <c r="P142" s="988"/>
      <c r="Q142" s="988"/>
      <c r="R142" s="989"/>
      <c r="S142" s="2520"/>
      <c r="T142" s="1058"/>
      <c r="U142" s="430"/>
      <c r="V142" s="430"/>
      <c r="AC142" s="430"/>
    </row>
    <row r="147" s="21748" customFormat="1" customHeight="1" ht="11.25">
      <c r="A147" s="2147"/>
      <c r="B147" s="1501"/>
      <c r="C147" s="753"/>
      <c r="D147" s="430"/>
      <c r="E147" s="2171"/>
      <c r="F147" s="2171"/>
      <c r="G147" s="2171"/>
      <c r="H147" s="2468"/>
      <c r="I147" s="2856" t="s">
        <v>1133</v>
      </c>
      <c r="J147" s="2910"/>
      <c r="K147" s="2911"/>
      <c r="L147" s="981"/>
      <c r="M147" s="982" t="s">
        <v>145</v>
      </c>
      <c r="N147" s="2136"/>
      <c r="O147" s="983"/>
      <c r="P147" s="984"/>
      <c r="Q147" s="983"/>
      <c r="R147" s="985">
        <v>0</v>
      </c>
      <c r="S147" s="430"/>
      <c r="T147" s="1058"/>
      <c r="U147" s="430"/>
      <c r="V147" s="430"/>
      <c r="AC147" s="430"/>
    </row>
    <row s="21748" customFormat="1" customHeight="1" ht="11.25">
      <c r="A148" s="2147"/>
      <c r="B148" s="1501"/>
      <c r="C148" s="753"/>
      <c r="D148" s="430"/>
      <c r="E148" s="2171"/>
      <c r="F148" s="2171"/>
      <c r="G148" s="2171"/>
      <c r="H148" s="2468"/>
      <c r="I148" s="2856"/>
      <c r="J148" s="2910"/>
      <c r="K148" s="2912"/>
      <c r="L148" s="986"/>
      <c r="M148" s="987"/>
      <c r="N148" s="988" t="s">
        <v>2053</v>
      </c>
      <c r="O148" s="988"/>
      <c r="P148" s="988"/>
      <c r="Q148" s="988"/>
      <c r="R148" s="989"/>
      <c r="S148" s="430"/>
      <c r="T148" s="1058"/>
      <c r="U148" s="430"/>
      <c r="V148" s="430"/>
      <c r="AC148" s="430"/>
    </row>
    <row r="150" s="21748" customFormat="1" customHeight="1" ht="11.25">
      <c r="A150" s="2147"/>
      <c r="B150" s="1501"/>
      <c r="C150" s="753"/>
      <c r="D150" s="430"/>
      <c r="E150" s="2178"/>
      <c r="F150" s="2176"/>
      <c r="G150" s="2176"/>
      <c r="H150" s="2179"/>
      <c r="I150" s="2171"/>
      <c r="J150" s="2172"/>
      <c r="K150" s="2172"/>
      <c r="L150" s="981"/>
      <c r="M150" s="982" t="s">
        <v>145</v>
      </c>
      <c r="N150" s="2136"/>
      <c r="O150" s="983"/>
      <c r="P150" s="984"/>
      <c r="Q150" s="983"/>
      <c r="R150" s="985">
        <v>0</v>
      </c>
      <c r="S150" s="430"/>
      <c r="T150" s="1058"/>
      <c r="U150" s="430"/>
      <c r="V150" s="430"/>
      <c r="AC150" s="430"/>
    </row>
    <row r="152" s="27367" customFormat="1" customHeight="1" ht="17.25">
      <c r="A152" s="2156" t="s">
        <v>2055</v>
      </c>
    </row>
    <row customHeight="1" ht="17.25">
      <c r="G153" s="2180"/>
      <c r="H153" s="2180"/>
      <c r="I153" s="2180"/>
      <c r="M153" s="2176"/>
    </row>
    <row s="21825" customFormat="1" customHeight="1" ht="17.25">
      <c r="A154" s="2181"/>
      <c r="C154" s="2183"/>
      <c r="D154" s="2870"/>
      <c r="E154" s="2484"/>
      <c r="F154" s="2486"/>
      <c r="G154" s="2872"/>
      <c r="H154" s="2870"/>
      <c r="I154" s="2870">
        <v>1</v>
      </c>
      <c r="J154" s="2842"/>
      <c r="K154" s="2526" t="s">
        <v>66</v>
      </c>
      <c r="L154" s="2449"/>
      <c r="M154" s="2449" t="s">
        <v>145</v>
      </c>
      <c r="N154" s="2845" t="str">
        <f>IF(Z154="","",INDEX(TERRITORY_MR_LIST,MATCH(Z154,TERRITORY_LIST_ID,0)))</f>
        <v/>
      </c>
      <c r="O154" s="2526" t="s">
        <v>66</v>
      </c>
      <c r="P154" s="2449"/>
      <c r="Q154" s="2449" t="s">
        <v>145</v>
      </c>
      <c r="R154" s="2843" t="s">
        <v>28</v>
      </c>
      <c r="S154" s="2448" t="s">
        <v>66</v>
      </c>
      <c r="T154" s="2152"/>
      <c r="U154" s="2152" t="s">
        <v>145</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21825"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528</v>
      </c>
      <c r="W155" s="660"/>
      <c r="Y155" s="1600"/>
      <c r="Z155" s="1600"/>
      <c r="AA155" s="1600"/>
      <c r="AB155" s="1600"/>
      <c r="AC155" s="1600"/>
      <c r="AD155" s="1600"/>
      <c r="AE155" s="1600"/>
      <c r="AF155" s="1600"/>
      <c r="AG155" s="1600"/>
      <c r="AH155" s="1600"/>
      <c r="AI155" s="1600"/>
      <c r="AJ155" s="1600"/>
      <c r="AK155" s="1600"/>
    </row>
    <row s="21825" customFormat="1" customHeight="1" ht="17.25">
      <c r="A156" s="2181"/>
      <c r="C156" s="2186"/>
      <c r="D156" s="2844"/>
      <c r="E156" s="2871"/>
      <c r="F156" s="2487"/>
      <c r="G156" s="2873"/>
      <c r="H156" s="2844"/>
      <c r="I156" s="2844"/>
      <c r="J156" s="2874"/>
      <c r="K156" s="2527"/>
      <c r="L156" s="2844"/>
      <c r="M156" s="2844"/>
      <c r="N156" s="2846"/>
      <c r="O156" s="2453"/>
      <c r="P156" s="658"/>
      <c r="Q156" s="659"/>
      <c r="R156" s="659" t="s">
        <v>280</v>
      </c>
      <c r="S156" s="2187"/>
      <c r="T156" s="2187"/>
      <c r="U156" s="2187"/>
      <c r="V156" s="2187"/>
      <c r="W156" s="660"/>
      <c r="Y156" s="1600"/>
      <c r="Z156" s="1600"/>
      <c r="AA156" s="1600"/>
      <c r="AB156" s="1600"/>
      <c r="AC156" s="1600"/>
      <c r="AD156" s="1600"/>
      <c r="AE156" s="1600"/>
      <c r="AF156" s="1600"/>
      <c r="AG156" s="1600"/>
      <c r="AH156" s="1600"/>
      <c r="AI156" s="1600"/>
      <c r="AJ156" s="1600"/>
      <c r="AK156" s="1600"/>
    </row>
    <row s="21825" customFormat="1" customHeight="1" ht="17.25">
      <c r="A157" s="2181"/>
      <c r="C157" s="2186"/>
      <c r="D157" s="2844"/>
      <c r="E157" s="2871"/>
      <c r="F157" s="2487"/>
      <c r="G157" s="2873"/>
      <c r="H157" s="2844"/>
      <c r="I157" s="2844"/>
      <c r="J157" s="2874"/>
      <c r="K157" s="2453"/>
      <c r="L157" s="658"/>
      <c r="M157" s="659"/>
      <c r="N157" s="659" t="s">
        <v>339</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21825" customFormat="1" customHeight="1" ht="17.25">
      <c r="A158" s="2181"/>
      <c r="C158" s="2186"/>
      <c r="D158" s="2844"/>
      <c r="E158" s="2871"/>
      <c r="F158" s="2488"/>
      <c r="G158" s="2873"/>
      <c r="H158" s="658"/>
      <c r="I158" s="659"/>
      <c r="J158" s="659" t="s">
        <v>340</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21825" customFormat="1" customHeight="1" ht="17.25">
      <c r="A160" s="2181"/>
      <c r="C160" s="2183"/>
      <c r="D160" s="2171"/>
      <c r="E160" s="2188"/>
      <c r="F160" s="2125"/>
      <c r="G160" s="2189"/>
      <c r="H160" s="2870"/>
      <c r="I160" s="2870">
        <v>1</v>
      </c>
      <c r="J160" s="2842"/>
      <c r="K160" s="2526" t="s">
        <v>66</v>
      </c>
      <c r="L160" s="2449"/>
      <c r="M160" s="2449" t="s">
        <v>145</v>
      </c>
      <c r="N160" s="2845" t="str">
        <f>IF(Z160="","",INDEX(TERRITORY_MR_LIST,MATCH(Z160,TERRITORY_LIST_ID,0)))</f>
        <v/>
      </c>
      <c r="O160" s="2526" t="s">
        <v>66</v>
      </c>
      <c r="P160" s="2449"/>
      <c r="Q160" s="2449" t="s">
        <v>145</v>
      </c>
      <c r="R160" s="2843" t="s">
        <v>28</v>
      </c>
      <c r="S160" s="2448" t="s">
        <v>66</v>
      </c>
      <c r="T160" s="2152"/>
      <c r="U160" s="2152" t="s">
        <v>145</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21825"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528</v>
      </c>
      <c r="W161" s="660"/>
      <c r="Y161" s="1600"/>
      <c r="Z161" s="1600"/>
      <c r="AA161" s="1600"/>
      <c r="AB161" s="1600"/>
      <c r="AC161" s="1600"/>
      <c r="AD161" s="1600"/>
      <c r="AE161" s="1600"/>
      <c r="AF161" s="1600"/>
      <c r="AG161" s="1600"/>
      <c r="AH161" s="1600"/>
      <c r="AI161" s="1600"/>
      <c r="AJ161" s="1600"/>
      <c r="AK161" s="1600"/>
    </row>
    <row s="21825" customFormat="1" customHeight="1" ht="17.25">
      <c r="A162" s="2181"/>
      <c r="C162" s="2186"/>
      <c r="D162" s="2171"/>
      <c r="E162" s="2188"/>
      <c r="F162" s="2125"/>
      <c r="G162" s="2189"/>
      <c r="H162" s="2844"/>
      <c r="I162" s="2844"/>
      <c r="J162" s="2874"/>
      <c r="K162" s="2527"/>
      <c r="L162" s="2844"/>
      <c r="M162" s="2844"/>
      <c r="N162" s="2846"/>
      <c r="O162" s="2453"/>
      <c r="P162" s="658"/>
      <c r="Q162" s="659"/>
      <c r="R162" s="659" t="s">
        <v>280</v>
      </c>
      <c r="S162" s="2187"/>
      <c r="T162" s="2187"/>
      <c r="U162" s="2187"/>
      <c r="V162" s="2187"/>
      <c r="W162" s="660"/>
      <c r="Y162" s="1600"/>
      <c r="Z162" s="1600"/>
      <c r="AA162" s="1600"/>
      <c r="AB162" s="1600"/>
      <c r="AC162" s="1600"/>
      <c r="AD162" s="1600"/>
      <c r="AE162" s="1600"/>
      <c r="AF162" s="1600"/>
      <c r="AG162" s="1600"/>
      <c r="AH162" s="1600"/>
      <c r="AI162" s="1600"/>
      <c r="AJ162" s="1600"/>
      <c r="AK162" s="1600"/>
    </row>
    <row s="21825" customFormat="1" customHeight="1" ht="17.25">
      <c r="A163" s="2181"/>
      <c r="C163" s="2186"/>
      <c r="D163" s="2171"/>
      <c r="E163" s="2188"/>
      <c r="F163" s="2125"/>
      <c r="G163" s="2189"/>
      <c r="H163" s="2844"/>
      <c r="I163" s="2844"/>
      <c r="J163" s="2874"/>
      <c r="K163" s="2453"/>
      <c r="L163" s="658"/>
      <c r="M163" s="659"/>
      <c r="N163" s="659" t="s">
        <v>339</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21825" customFormat="1" customHeight="1" ht="17.25">
      <c r="A165" s="2181"/>
      <c r="C165" s="2183"/>
      <c r="D165" s="2171"/>
      <c r="E165" s="2188"/>
      <c r="F165" s="2125"/>
      <c r="G165" s="2189"/>
      <c r="H165" s="2171"/>
      <c r="I165" s="2171"/>
      <c r="J165" s="2190"/>
      <c r="K165" s="2101"/>
      <c r="L165" s="2449"/>
      <c r="M165" s="2449" t="s">
        <v>145</v>
      </c>
      <c r="N165" s="2845" t="str">
        <f>IF(Z165="","",INDEX(TERRITORY_MR_LIST,MATCH(Z165,TERRITORY_LIST_ID,0)))</f>
        <v/>
      </c>
      <c r="O165" s="2526" t="s">
        <v>66</v>
      </c>
      <c r="P165" s="2449"/>
      <c r="Q165" s="2449" t="s">
        <v>145</v>
      </c>
      <c r="R165" s="2843" t="s">
        <v>28</v>
      </c>
      <c r="S165" s="2448" t="s">
        <v>66</v>
      </c>
      <c r="T165" s="2152"/>
      <c r="U165" s="2152" t="s">
        <v>145</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21825"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528</v>
      </c>
      <c r="W166" s="660"/>
      <c r="Y166" s="1600"/>
      <c r="Z166" s="1600"/>
      <c r="AA166" s="1600"/>
      <c r="AB166" s="1600"/>
      <c r="AC166" s="1600"/>
      <c r="AD166" s="1600"/>
      <c r="AE166" s="1600"/>
      <c r="AF166" s="1600"/>
      <c r="AG166" s="1600"/>
      <c r="AH166" s="1600"/>
      <c r="AI166" s="1600"/>
      <c r="AJ166" s="1600"/>
      <c r="AK166" s="1600"/>
    </row>
    <row s="21825" customFormat="1" customHeight="1" ht="17.25">
      <c r="A167" s="2181"/>
      <c r="C167" s="2186"/>
      <c r="D167" s="2171"/>
      <c r="E167" s="2188"/>
      <c r="F167" s="2125"/>
      <c r="G167" s="2189"/>
      <c r="H167" s="2171"/>
      <c r="I167" s="2171"/>
      <c r="J167" s="2190"/>
      <c r="K167" s="2101"/>
      <c r="L167" s="2844"/>
      <c r="M167" s="2844"/>
      <c r="N167" s="2846"/>
      <c r="O167" s="2453"/>
      <c r="P167" s="658"/>
      <c r="Q167" s="659"/>
      <c r="R167" s="659" t="s">
        <v>280</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21825" customFormat="1" customHeight="1" ht="17.25">
      <c r="A169" s="2181"/>
      <c r="C169" s="2183"/>
      <c r="D169" s="2171"/>
      <c r="E169" s="2188"/>
      <c r="F169" s="2125"/>
      <c r="G169" s="2189"/>
      <c r="H169" s="2171"/>
      <c r="I169" s="2171"/>
      <c r="J169" s="2190"/>
      <c r="K169" s="2101"/>
      <c r="L169" s="2097"/>
      <c r="M169" s="2097"/>
      <c r="N169" s="2389"/>
      <c r="O169" s="2128"/>
      <c r="P169" s="2449"/>
      <c r="Q169" s="2449" t="s">
        <v>145</v>
      </c>
      <c r="R169" s="2843" t="s">
        <v>28</v>
      </c>
      <c r="S169" s="2448" t="s">
        <v>66</v>
      </c>
      <c r="T169" s="2152"/>
      <c r="U169" s="2152" t="s">
        <v>145</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21825"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528</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21825"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145</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27367" customFormat="1" customHeight="1" ht="17.25">
      <c r="A174" s="2156" t="s">
        <v>2056</v>
      </c>
    </row>
    <row customHeight="1" ht="17.25">
      <c r="G175" s="2180"/>
      <c r="H175" s="2180"/>
      <c r="I175" s="2180"/>
      <c r="M175" s="2176"/>
    </row>
    <row s="21825" customFormat="1" customHeight="1" ht="17.25">
      <c r="A176" s="2181"/>
      <c r="C176" s="2183"/>
      <c r="D176" s="2870"/>
      <c r="E176" s="2484"/>
      <c r="F176" s="2486"/>
      <c r="G176" s="2872"/>
      <c r="H176" s="2870"/>
      <c r="I176" s="2870">
        <v>1</v>
      </c>
      <c r="J176" s="2842"/>
      <c r="K176" s="2526" t="s">
        <v>66</v>
      </c>
      <c r="L176" s="2449"/>
      <c r="M176" s="2449" t="s">
        <v>145</v>
      </c>
      <c r="N176" s="2845" t="str">
        <f>IF(Z176="","",INDEX(TERRITORY_MR_LIST,MATCH(Z176,TERRITORY_LIST_ID,0)))</f>
        <v/>
      </c>
      <c r="O176" s="2526" t="s">
        <v>66</v>
      </c>
      <c r="P176" s="2449"/>
      <c r="Q176" s="2449" t="s">
        <v>145</v>
      </c>
      <c r="R176" s="2843" t="s">
        <v>28</v>
      </c>
      <c r="S176" s="2747" t="s">
        <v>19</v>
      </c>
      <c r="T176" s="2143"/>
      <c r="U176" s="2143" t="s">
        <v>145</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21825"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21825" customFormat="1" customHeight="1" ht="17.25">
      <c r="A178" s="2181"/>
      <c r="C178" s="2186"/>
      <c r="D178" s="2844"/>
      <c r="E178" s="2871"/>
      <c r="F178" s="2487"/>
      <c r="G178" s="2873"/>
      <c r="H178" s="2844"/>
      <c r="I178" s="2844"/>
      <c r="J178" s="2874"/>
      <c r="K178" s="2527"/>
      <c r="L178" s="2844"/>
      <c r="M178" s="2844"/>
      <c r="N178" s="2846"/>
      <c r="O178" s="2453"/>
      <c r="P178" s="658"/>
      <c r="Q178" s="659"/>
      <c r="R178" s="659" t="s">
        <v>280</v>
      </c>
      <c r="S178" s="2187"/>
      <c r="T178" s="2187"/>
      <c r="U178" s="2187"/>
      <c r="V178" s="2187"/>
      <c r="W178" s="1774"/>
      <c r="Y178" s="1600"/>
      <c r="Z178" s="1600"/>
      <c r="AA178" s="1600"/>
      <c r="AB178" s="1600"/>
      <c r="AC178" s="1600"/>
      <c r="AD178" s="1600"/>
      <c r="AE178" s="1600"/>
      <c r="AF178" s="1600"/>
      <c r="AG178" s="1600"/>
      <c r="AH178" s="1600"/>
      <c r="AI178" s="1600"/>
      <c r="AJ178" s="1600"/>
      <c r="AK178" s="1600"/>
    </row>
    <row s="21825" customFormat="1" customHeight="1" ht="17.25">
      <c r="A179" s="2181"/>
      <c r="C179" s="2186"/>
      <c r="D179" s="2844"/>
      <c r="E179" s="2871"/>
      <c r="F179" s="2487"/>
      <c r="G179" s="2873"/>
      <c r="H179" s="2844"/>
      <c r="I179" s="2844"/>
      <c r="J179" s="2874"/>
      <c r="K179" s="2453"/>
      <c r="L179" s="658"/>
      <c r="M179" s="659"/>
      <c r="N179" s="659" t="s">
        <v>339</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21825" customFormat="1" customHeight="1" ht="17.25">
      <c r="A180" s="2181"/>
      <c r="C180" s="2186"/>
      <c r="D180" s="2844"/>
      <c r="E180" s="2871"/>
      <c r="F180" s="2488"/>
      <c r="G180" s="2873"/>
      <c r="H180" s="658"/>
      <c r="I180" s="659"/>
      <c r="J180" s="659" t="s">
        <v>340</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21825" customFormat="1" customHeight="1" ht="17.25">
      <c r="A182" s="2181"/>
      <c r="C182" s="2183"/>
      <c r="D182" s="2171"/>
      <c r="E182" s="2188"/>
      <c r="F182" s="2125"/>
      <c r="G182" s="2189"/>
      <c r="H182" s="2870"/>
      <c r="I182" s="2870">
        <v>1</v>
      </c>
      <c r="J182" s="2842"/>
      <c r="K182" s="2526" t="s">
        <v>66</v>
      </c>
      <c r="L182" s="2449"/>
      <c r="M182" s="2449" t="s">
        <v>145</v>
      </c>
      <c r="N182" s="2845" t="str">
        <f>IF(Z182="","",INDEX(TERRITORY_MR_LIST,MATCH(Z182,TERRITORY_LIST_ID,0)))</f>
        <v/>
      </c>
      <c r="O182" s="2526" t="s">
        <v>66</v>
      </c>
      <c r="P182" s="2449"/>
      <c r="Q182" s="2449" t="s">
        <v>145</v>
      </c>
      <c r="R182" s="2843" t="s">
        <v>28</v>
      </c>
      <c r="S182" s="2747" t="s">
        <v>19</v>
      </c>
      <c r="T182" s="2143"/>
      <c r="U182" s="2143" t="s">
        <v>145</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21825"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21825" customFormat="1" customHeight="1" ht="17.25">
      <c r="A184" s="2181"/>
      <c r="C184" s="2186"/>
      <c r="D184" s="2171"/>
      <c r="E184" s="2188"/>
      <c r="F184" s="2125"/>
      <c r="G184" s="2189"/>
      <c r="H184" s="2844"/>
      <c r="I184" s="2844"/>
      <c r="J184" s="2874"/>
      <c r="K184" s="2527"/>
      <c r="L184" s="2844"/>
      <c r="M184" s="2844"/>
      <c r="N184" s="2846"/>
      <c r="O184" s="2453"/>
      <c r="P184" s="658"/>
      <c r="Q184" s="659"/>
      <c r="R184" s="659" t="s">
        <v>280</v>
      </c>
      <c r="S184" s="2187"/>
      <c r="T184" s="2187"/>
      <c r="U184" s="2187"/>
      <c r="V184" s="2187"/>
      <c r="W184" s="1774"/>
      <c r="Y184" s="1600"/>
      <c r="Z184" s="1600"/>
      <c r="AA184" s="1600"/>
      <c r="AB184" s="1600"/>
      <c r="AC184" s="1600"/>
      <c r="AD184" s="1600"/>
      <c r="AE184" s="1600"/>
      <c r="AF184" s="1600"/>
      <c r="AG184" s="1600"/>
      <c r="AH184" s="1600"/>
      <c r="AI184" s="1600"/>
      <c r="AJ184" s="1600"/>
      <c r="AK184" s="1600"/>
    </row>
    <row s="21825" customFormat="1" customHeight="1" ht="17.25">
      <c r="A185" s="2181"/>
      <c r="C185" s="2186"/>
      <c r="D185" s="2171"/>
      <c r="E185" s="2188"/>
      <c r="F185" s="2125"/>
      <c r="G185" s="2189"/>
      <c r="H185" s="2844"/>
      <c r="I185" s="2844"/>
      <c r="J185" s="2874"/>
      <c r="K185" s="2453"/>
      <c r="L185" s="658"/>
      <c r="M185" s="659"/>
      <c r="N185" s="659" t="s">
        <v>339</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21825" customFormat="1" customHeight="1" ht="17.25">
      <c r="A187" s="2181"/>
      <c r="C187" s="2183"/>
      <c r="D187" s="2171"/>
      <c r="E187" s="2188"/>
      <c r="F187" s="2125"/>
      <c r="G187" s="2189"/>
      <c r="H187" s="2171"/>
      <c r="I187" s="2171"/>
      <c r="J187" s="2192"/>
      <c r="K187" s="2189"/>
      <c r="L187" s="2449"/>
      <c r="M187" s="2449" t="s">
        <v>145</v>
      </c>
      <c r="N187" s="2845" t="str">
        <f>IF(Z187="","",INDEX(TERRITORY_MR_LIST,MATCH(Z187,TERRITORY_LIST_ID,0)))</f>
        <v/>
      </c>
      <c r="O187" s="2526" t="s">
        <v>66</v>
      </c>
      <c r="P187" s="2449"/>
      <c r="Q187" s="2449" t="s">
        <v>145</v>
      </c>
      <c r="R187" s="2843" t="s">
        <v>28</v>
      </c>
      <c r="S187" s="2747" t="s">
        <v>19</v>
      </c>
      <c r="T187" s="2143"/>
      <c r="U187" s="2143" t="s">
        <v>145</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21825"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21825" customFormat="1" customHeight="1" ht="17.25">
      <c r="A189" s="2181"/>
      <c r="C189" s="2186"/>
      <c r="D189" s="2171"/>
      <c r="E189" s="2188"/>
      <c r="F189" s="2125"/>
      <c r="G189" s="2189"/>
      <c r="H189" s="2171"/>
      <c r="I189" s="2171"/>
      <c r="J189" s="2192"/>
      <c r="K189" s="2189"/>
      <c r="L189" s="2844"/>
      <c r="M189" s="2844"/>
      <c r="N189" s="2846"/>
      <c r="O189" s="2453"/>
      <c r="P189" s="658"/>
      <c r="Q189" s="659"/>
      <c r="R189" s="659" t="s">
        <v>280</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21825" customFormat="1" customHeight="1" ht="17.25">
      <c r="A191" s="2181"/>
      <c r="C191" s="2183"/>
      <c r="D191" s="2171"/>
      <c r="E191" s="2188"/>
      <c r="F191" s="2125"/>
      <c r="G191" s="2189"/>
      <c r="H191" s="2171"/>
      <c r="I191" s="2171"/>
      <c r="J191" s="2192"/>
      <c r="K191" s="2189"/>
      <c r="L191" s="2171"/>
      <c r="M191" s="2171"/>
      <c r="N191" s="2389"/>
      <c r="O191" s="2128"/>
      <c r="P191" s="2449"/>
      <c r="Q191" s="2449" t="s">
        <v>145</v>
      </c>
      <c r="R191" s="2843" t="s">
        <v>28</v>
      </c>
      <c r="S191" s="2747" t="s">
        <v>19</v>
      </c>
      <c r="T191" s="2143"/>
      <c r="U191" s="2143" t="s">
        <v>145</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21825"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27367" customFormat="1" customHeight="1" ht="17.25">
      <c r="A200" s="2156" t="s">
        <v>2057</v>
      </c>
    </row>
    <row customHeight="1" ht="17.25">
      <c r="G201" s="2180"/>
      <c r="H201" s="2180"/>
      <c r="I201" s="2180"/>
      <c r="M201" s="2176"/>
    </row>
    <row s="21748" customFormat="1" customHeight="1" ht="15">
      <c r="D202" s="2864"/>
      <c r="E202" s="2540"/>
      <c r="F202" s="2540"/>
      <c r="G202" s="2526"/>
      <c r="H202" s="1905"/>
      <c r="I202" s="2868">
        <v>1</v>
      </c>
      <c r="J202" s="2842"/>
      <c r="K202" s="1920"/>
      <c r="L202" s="2526" t="s">
        <v>66</v>
      </c>
      <c r="M202" s="2526" t="s">
        <v>66</v>
      </c>
      <c r="N202" s="1905"/>
      <c r="O202" s="2449" t="s">
        <v>145</v>
      </c>
      <c r="P202" s="2858"/>
      <c r="Q202" s="1921"/>
      <c r="R202" s="2526" t="s">
        <v>66</v>
      </c>
      <c r="S202" s="2526" t="s">
        <v>66</v>
      </c>
      <c r="T202" s="2196"/>
      <c r="U202" s="2449" t="s">
        <v>145</v>
      </c>
      <c r="V202" s="2865" t="str">
        <f>IF(AK202="","",INDEX(TERRITORY_MR_LIST,MATCH(AK202,TERRITORY_LIST_ID,0)))</f>
        <v/>
      </c>
      <c r="W202" s="1922"/>
      <c r="X202" s="2526" t="s">
        <v>66</v>
      </c>
      <c r="Y202" s="2526" t="s">
        <v>19</v>
      </c>
      <c r="Z202" s="1905"/>
      <c r="AA202" s="2449" t="s">
        <v>145</v>
      </c>
      <c r="AB202" s="2867"/>
      <c r="AC202" s="1923"/>
      <c r="AD202" s="2526" t="s">
        <v>66</v>
      </c>
      <c r="AE202" s="2526" t="s">
        <v>19</v>
      </c>
      <c r="AF202" s="1903"/>
      <c r="AG202" s="2152" t="s">
        <v>145</v>
      </c>
      <c r="AH202" s="1913"/>
      <c r="AI202" s="2142"/>
    </row>
    <row s="21748"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2058</v>
      </c>
      <c r="AI203" s="2860"/>
    </row>
    <row s="21748"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2059</v>
      </c>
      <c r="AC204" s="2861"/>
      <c r="AD204" s="2861"/>
      <c r="AE204" s="2861"/>
      <c r="AF204" s="2861"/>
      <c r="AG204" s="2861"/>
      <c r="AH204" s="2861"/>
      <c r="AI204" s="2862"/>
    </row>
    <row s="21748"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148</v>
      </c>
      <c r="W205" s="2859"/>
      <c r="X205" s="2859"/>
      <c r="Y205" s="2859"/>
      <c r="Z205" s="2859"/>
      <c r="AA205" s="2859"/>
      <c r="AB205" s="2859"/>
      <c r="AC205" s="2859"/>
      <c r="AD205" s="2859"/>
      <c r="AE205" s="2859"/>
      <c r="AF205" s="2859"/>
      <c r="AG205" s="2859"/>
      <c r="AH205" s="2859"/>
      <c r="AI205" s="2860"/>
    </row>
    <row s="21748" customFormat="1" customHeight="1" ht="11.25">
      <c r="D206" s="2864"/>
      <c r="E206" s="2540"/>
      <c r="F206" s="2540"/>
      <c r="G206" s="2527"/>
      <c r="H206" s="1909"/>
      <c r="I206" s="2868"/>
      <c r="J206" s="2869"/>
      <c r="K206" s="1904"/>
      <c r="L206" s="2527"/>
      <c r="M206" s="2527"/>
      <c r="N206" s="1909"/>
      <c r="O206" s="1910"/>
      <c r="P206" s="2859" t="s">
        <v>2060</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22147" customFormat="1" customHeight="1" ht="11.25">
      <c r="D207" s="2864"/>
      <c r="E207" s="2540"/>
      <c r="F207" s="2540"/>
      <c r="G207" s="2453"/>
      <c r="H207" s="1911"/>
      <c r="I207" s="1912"/>
      <c r="J207" s="2859" t="s">
        <v>340</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21748"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21748"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21748"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21748"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21748"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22147"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9993C-EA75-0CC7-5E1F-CEC0F64AEF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658" width="43.140625"/>
    <col min="2" max="2" style="27658" width="43.140625" hidden="1"/>
    <col min="3" max="3" style="27658" width="43.140625"/>
    <col min="4" max="5" style="27658" width="36.421875" customWidth="1"/>
    <col min="6" max="8" style="27659" width="36.421875" customWidth="1"/>
  </cols>
  <sheetData>
    <row customHeight="1" ht="9">
      <c r="A1" s="1187" t="s">
        <v>2061</v>
      </c>
      <c r="B1" s="1187"/>
      <c r="C1" s="1323" t="s">
        <v>2062</v>
      </c>
      <c r="D1" s="1321" t="s">
        <v>919</v>
      </c>
      <c r="E1" s="1321" t="s">
        <v>965</v>
      </c>
      <c r="F1" s="1321" t="s">
        <v>1018</v>
      </c>
      <c r="G1" s="1321" t="s">
        <v>1005</v>
      </c>
      <c r="H1" s="1321" t="s">
        <v>1736</v>
      </c>
    </row>
    <row customHeight="1" ht="9">
      <c r="A2" s="1324" t="s">
        <v>2063</v>
      </c>
      <c r="B2" s="1324"/>
      <c r="C2" s="1325" t="str">
        <f>INDEX(TEMPLATE_NUMBER_FORM_LIST,MATCH(TEMPLATE_SPHERE,TEMPLATE_SPHERE_LIST,0))</f>
        <v>10</v>
      </c>
      <c r="D2" s="1324" t="s">
        <v>118</v>
      </c>
      <c r="E2" s="1324" t="s">
        <v>138</v>
      </c>
      <c r="F2" s="1326" t="s">
        <v>138</v>
      </c>
      <c r="G2" s="1324" t="s">
        <v>138</v>
      </c>
      <c r="H2" s="1327"/>
    </row>
    <row customHeight="1" ht="63">
      <c r="A3" s="1187"/>
      <c r="B3" s="1187" t="s">
        <v>145</v>
      </c>
      <c r="C3" s="132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25" t="s">
        <v>2064</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26"/>
      <c r="G3" s="1327"/>
      <c r="H3" s="1187"/>
    </row>
    <row customHeight="1" ht="243">
      <c r="A4" s="1187" t="s">
        <v>2065</v>
      </c>
      <c r="B4" s="1187" t="s">
        <v>103</v>
      </c>
      <c r="C4" s="1325" t="str">
        <f>IF(TEMPLATE_SPHERE="HEAT",D4,IF(TEMPLATE_SPHERE="TKO",H4,E4))</f>
        <v>Форма 1. Информация об организации, осуществляющей холодное водоснабжение (общая информация)</v>
      </c>
      <c r="D4" s="1324" t="s">
        <v>2066</v>
      </c>
      <c r="E4" s="132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24"/>
      <c r="G4" s="1324"/>
      <c r="H4" s="1187" t="s">
        <v>2067</v>
      </c>
    </row>
    <row customHeight="1" ht="117">
      <c r="A5" s="1187" t="s">
        <v>2068</v>
      </c>
      <c r="B5" s="1187" t="s">
        <v>90</v>
      </c>
      <c r="C5" s="132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87" t="s">
        <v>2069</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27"/>
      <c r="G5" s="1327"/>
      <c r="H5" s="1187" t="s">
        <v>2070</v>
      </c>
    </row>
    <row customHeight="1" ht="90">
      <c r="A6" s="1187" t="s">
        <v>2071</v>
      </c>
      <c r="B6" s="1187" t="s">
        <v>91</v>
      </c>
      <c r="C6" s="132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87"/>
      <c r="G6" s="1187"/>
      <c r="H6" s="1327"/>
    </row>
    <row customHeight="1" ht="45">
      <c r="A7" s="1187" t="s">
        <v>2072</v>
      </c>
      <c r="B7" s="1187" t="s">
        <v>116</v>
      </c>
      <c r="C7" s="132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87" t="s">
        <v>2073</v>
      </c>
      <c r="E7" s="1187" t="s">
        <v>2074</v>
      </c>
      <c r="F7" s="1327"/>
      <c r="G7" s="1327"/>
      <c r="H7" s="1327"/>
    </row>
    <row customHeight="1" ht="108">
      <c r="A8" s="1187" t="s">
        <v>2075</v>
      </c>
      <c r="B8" s="1187" t="s">
        <v>92</v>
      </c>
      <c r="C8" s="132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87" t="s">
        <v>1275</v>
      </c>
      <c r="E8" s="1187" t="s">
        <v>2076</v>
      </c>
      <c r="F8" s="1327"/>
      <c r="G8" s="1327"/>
      <c r="H8" s="1327"/>
    </row>
    <row customHeight="1" ht="99">
      <c r="A9" s="1187" t="s">
        <v>2077</v>
      </c>
      <c r="B9" s="1187"/>
      <c r="C9" s="1187" t="s">
        <v>2078</v>
      </c>
      <c r="D9" s="1187"/>
      <c r="E9" s="1187"/>
      <c r="F9" s="1327"/>
      <c r="G9" s="1327"/>
      <c r="H9" s="1327"/>
    </row>
    <row customHeight="1" ht="126">
      <c r="A10" s="1187" t="s">
        <v>2079</v>
      </c>
      <c r="B10" s="1187"/>
      <c r="C10" s="1187" t="s">
        <v>2080</v>
      </c>
      <c r="D10" s="1187"/>
      <c r="E10" s="1187"/>
      <c r="F10" s="1327"/>
      <c r="G10" s="1327"/>
      <c r="H10" s="1327"/>
    </row>
    <row customHeight="1" ht="108">
      <c r="A11" s="1187" t="s">
        <v>2081</v>
      </c>
      <c r="B11" s="1187"/>
      <c r="C11" s="1187" t="s">
        <v>2082</v>
      </c>
      <c r="D11" s="1187"/>
      <c r="E11" s="1187"/>
      <c r="F11" s="1327"/>
      <c r="G11" s="1327"/>
      <c r="H11" s="1327"/>
    </row>
    <row customHeight="1" ht="54">
      <c r="A12" s="1187" t="s">
        <v>2083</v>
      </c>
      <c r="B12" s="1187"/>
      <c r="C12" s="1187" t="s">
        <v>2084</v>
      </c>
      <c r="D12" s="1187"/>
      <c r="E12" s="1187"/>
      <c r="F12" s="1327"/>
      <c r="G12" s="1327"/>
      <c r="H12" s="1327"/>
    </row>
    <row customHeight="1" ht="45">
      <c r="A13" s="1187" t="s">
        <v>2085</v>
      </c>
      <c r="B13" s="1187"/>
      <c r="C13" s="1187" t="s">
        <v>2086</v>
      </c>
      <c r="D13" s="1187"/>
      <c r="E13" s="1187"/>
      <c r="F13" s="1327"/>
      <c r="G13" s="1327"/>
      <c r="H13" s="1327"/>
    </row>
    <row customHeight="1" ht="117">
      <c r="A14" s="1187" t="s">
        <v>2087</v>
      </c>
      <c r="B14" s="1187"/>
      <c r="C14" s="1187" t="s">
        <v>2088</v>
      </c>
      <c r="D14" s="1187"/>
      <c r="E14" s="1187"/>
      <c r="F14" s="1327"/>
      <c r="G14" s="1327"/>
      <c r="H14" s="1327"/>
    </row>
    <row customHeight="1" ht="117">
      <c r="A15" s="1187" t="s">
        <v>2089</v>
      </c>
      <c r="B15" s="1187"/>
      <c r="C15" s="1187" t="s">
        <v>2090</v>
      </c>
      <c r="D15" s="1187"/>
      <c r="E15" s="1187"/>
      <c r="F15" s="1327"/>
      <c r="G15" s="1327"/>
      <c r="H15" s="1327"/>
    </row>
    <row customHeight="1" ht="63">
      <c r="A16" s="1187" t="s">
        <v>2091</v>
      </c>
      <c r="B16" s="1187"/>
      <c r="C16" s="1187" t="s">
        <v>2092</v>
      </c>
      <c r="D16" s="1187"/>
      <c r="E16" s="1187"/>
      <c r="F16" s="1327"/>
      <c r="G16" s="1327"/>
      <c r="H16" s="1327"/>
    </row>
    <row customHeight="1" ht="54">
      <c r="A17" s="1187" t="s">
        <v>2093</v>
      </c>
      <c r="B17" s="1187"/>
      <c r="C17" s="1325" t="s">
        <v>2094</v>
      </c>
      <c r="D17" s="1187"/>
      <c r="E17" s="1187"/>
      <c r="F17" s="1327"/>
      <c r="G17" s="1327"/>
      <c r="H17" s="1327"/>
    </row>
    <row customHeight="1" ht="27">
      <c r="A18" s="1187" t="s">
        <v>2095</v>
      </c>
      <c r="B18" s="1187"/>
      <c r="C18" s="1325" t="s">
        <v>2096</v>
      </c>
      <c r="D18" s="1187"/>
      <c r="E18" s="1187"/>
      <c r="F18" s="1327"/>
      <c r="G18" s="1327"/>
      <c r="H18" s="1327"/>
    </row>
    <row customHeight="1" ht="54">
      <c r="A19" s="1187" t="s">
        <v>2097</v>
      </c>
      <c r="B19" s="1187"/>
      <c r="C19" s="1325" t="s">
        <v>2098</v>
      </c>
      <c r="D19" s="1187"/>
      <c r="E19" s="1187"/>
      <c r="F19" s="1327"/>
      <c r="G19" s="1327"/>
      <c r="H19" s="1327"/>
    </row>
    <row customHeight="1" ht="36">
      <c r="A20" s="1187" t="s">
        <v>2099</v>
      </c>
      <c r="B20" s="1187"/>
      <c r="C20" s="1325" t="s">
        <v>2100</v>
      </c>
      <c r="D20" s="1187"/>
      <c r="E20" s="1187"/>
      <c r="F20" s="1327"/>
      <c r="G20" s="1327"/>
      <c r="H20" s="1327"/>
    </row>
    <row customHeight="1" ht="36">
      <c r="A21" s="1187" t="s">
        <v>2101</v>
      </c>
      <c r="B21" s="1187"/>
      <c r="C21" s="1325" t="s">
        <v>2102</v>
      </c>
      <c r="D21" s="1187"/>
      <c r="E21" s="1187"/>
      <c r="F21" s="1327"/>
      <c r="G21" s="1327"/>
      <c r="H21" s="1327"/>
    </row>
    <row customHeight="1" ht="27">
      <c r="A22" s="1187" t="s">
        <v>2103</v>
      </c>
      <c r="B22" s="1187"/>
      <c r="C22" s="1325" t="s">
        <v>2104</v>
      </c>
      <c r="D22" s="1187"/>
      <c r="E22" s="1187"/>
      <c r="F22" s="1327"/>
      <c r="G22" s="1327"/>
      <c r="H22" s="1327"/>
    </row>
    <row customHeight="1" ht="36">
      <c r="A23" s="1187" t="s">
        <v>2105</v>
      </c>
      <c r="B23" s="1187"/>
      <c r="C23" s="1325" t="s">
        <v>2106</v>
      </c>
      <c r="D23" s="1187"/>
      <c r="E23" s="1187"/>
      <c r="F23" s="1327"/>
      <c r="G23" s="1327"/>
      <c r="H23" s="1327"/>
    </row>
    <row customHeight="1" ht="28.5">
      <c r="A24" s="1187" t="s">
        <v>2107</v>
      </c>
      <c r="B24" s="1187"/>
      <c r="C24" s="1325" t="s">
        <v>2108</v>
      </c>
      <c r="D24" s="1187"/>
      <c r="E24" s="1187"/>
      <c r="F24" s="1327"/>
      <c r="G24" s="1327"/>
      <c r="H24" s="1327"/>
    </row>
    <row customHeight="1" ht="36">
      <c r="A25" s="1187" t="s">
        <v>2109</v>
      </c>
      <c r="B25" s="1187"/>
      <c r="C25" s="1325" t="s">
        <v>2110</v>
      </c>
      <c r="D25" s="1187"/>
      <c r="E25" s="1187"/>
      <c r="F25" s="1327"/>
      <c r="G25" s="1327"/>
      <c r="H25" s="1327"/>
    </row>
    <row customHeight="1" ht="27">
      <c r="A26" s="1187" t="s">
        <v>2111</v>
      </c>
      <c r="B26" s="1187"/>
      <c r="C26" s="1325" t="s">
        <v>2112</v>
      </c>
      <c r="D26" s="1187"/>
      <c r="E26" s="1187"/>
      <c r="F26" s="1327"/>
      <c r="G26" s="1327"/>
      <c r="H26" s="1327"/>
    </row>
    <row customHeight="1" ht="36">
      <c r="A27" s="1187" t="s">
        <v>2113</v>
      </c>
      <c r="B27" s="1187"/>
      <c r="C27" s="1325" t="s">
        <v>2114</v>
      </c>
      <c r="D27" s="1187"/>
      <c r="E27" s="1187"/>
      <c r="F27" s="1327"/>
      <c r="G27" s="1327"/>
      <c r="H27" s="1327"/>
    </row>
    <row customHeight="1" ht="28.5">
      <c r="A28" s="1187" t="s">
        <v>2115</v>
      </c>
      <c r="B28" s="1187"/>
      <c r="C28" s="1325" t="s">
        <v>2116</v>
      </c>
      <c r="D28" s="1187"/>
      <c r="E28" s="1187"/>
      <c r="F28" s="1327"/>
      <c r="G28" s="1327"/>
      <c r="H28" s="1327"/>
    </row>
    <row customHeight="1" ht="126">
      <c r="A29" s="1187" t="s">
        <v>2117</v>
      </c>
      <c r="B29" s="1187" t="s">
        <v>1687</v>
      </c>
      <c r="C29" s="132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87" t="s">
        <v>2118</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27"/>
      <c r="G29" s="1327"/>
      <c r="H29" s="1187" t="s">
        <v>2119</v>
      </c>
    </row>
    <row customHeight="1" ht="36">
      <c r="A30" s="1187" t="s">
        <v>2120</v>
      </c>
      <c r="B30" s="1187"/>
      <c r="C30" s="132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87" t="s">
        <v>2121</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27"/>
      <c r="G30" s="1327"/>
      <c r="H30" s="1327"/>
    </row>
    <row customHeight="1" ht="54">
      <c r="A31" s="1187" t="s">
        <v>2122</v>
      </c>
      <c r="B31" s="1187"/>
      <c r="C31" s="1325" t="str">
        <f>IF(TEMPLATE_SPHERE="HEAT",D31,IF(TEMPLATE_SPHERE="TKO",H31,E31))</f>
        <v>Форма 1. Информация об организации, осуществляющей холодное водоснабжение (общая информация)</v>
      </c>
      <c r="D31" s="1187" t="s">
        <v>2123</v>
      </c>
      <c r="E31" s="11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27"/>
      <c r="G31" s="1327"/>
      <c r="H31" s="1327"/>
    </row>
    <row customHeight="1" ht="198">
      <c r="A32" s="1187" t="s">
        <v>2124</v>
      </c>
      <c r="B32" s="1187"/>
      <c r="C32" s="132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87" t="s">
        <v>2125</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27"/>
      <c r="G32" s="1327"/>
      <c r="H32" s="1187" t="s">
        <v>2126</v>
      </c>
    </row>
    <row customHeight="1" ht="9">
      <c r="A33" s="1187"/>
      <c r="B33" s="1187"/>
      <c r="C33" s="1325"/>
      <c r="D33" s="1187"/>
      <c r="E33" s="1187"/>
      <c r="F33" s="1327"/>
      <c r="G33" s="1327"/>
      <c r="H33" s="1327"/>
    </row>
    <row customHeight="1" ht="9">
      <c r="A34" s="1187"/>
      <c r="B34" s="1187" t="s">
        <v>1624</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456CEE-8A1A-5DAF-DFB6-A27D49B453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658" width="9.140625"/>
    <col min="3" max="7" style="27702" width="8.00390625" customWidth="1"/>
    <col min="8" max="12" style="27702" width="8.57421875" customWidth="1"/>
    <col min="13" max="14" style="27702" width="27.7109375" customWidth="1"/>
    <col min="15" max="19" style="27702" width="5.140625" customWidth="1"/>
    <col min="20" max="24" style="27702" width="27.7109375" customWidth="1"/>
    <col min="25" max="25" style="27703" width="1.8515625" customWidth="1"/>
    <col min="26" max="26" style="27658" width="27.7109375" customWidth="1"/>
    <col min="27" max="27" style="27704" width="27.7109375" customWidth="1"/>
    <col min="28" max="29" style="27658" width="27.7109375" customWidth="1"/>
    <col min="30" max="30" style="27658" width="3.8515625" customWidth="1"/>
    <col min="31" max="34" style="27658" width="9.140625"/>
  </cols>
  <sheetData>
    <row s="27660" customFormat="1" customHeight="1" ht="18">
      <c r="A1" s="1239"/>
      <c r="B1" s="1239"/>
      <c r="C1" s="1239" t="s">
        <v>2127</v>
      </c>
      <c r="D1" s="1239"/>
      <c r="E1" s="1239"/>
      <c r="F1" s="1239"/>
      <c r="G1" s="1239"/>
      <c r="H1" s="1239" t="s">
        <v>2128</v>
      </c>
      <c r="I1" s="1239"/>
      <c r="J1" s="1239"/>
      <c r="K1" s="1239"/>
      <c r="L1" s="1239"/>
      <c r="M1" s="1239" t="s">
        <v>2129</v>
      </c>
      <c r="N1" s="1239" t="s">
        <v>2130</v>
      </c>
      <c r="O1" s="2933" t="s">
        <v>2131</v>
      </c>
      <c r="P1" s="2933"/>
      <c r="Q1" s="2933"/>
      <c r="R1" s="2933"/>
      <c r="S1" s="2933"/>
      <c r="T1" s="2933" t="s">
        <v>2129</v>
      </c>
      <c r="U1" s="2933"/>
      <c r="V1" s="2933"/>
      <c r="W1" s="2933"/>
      <c r="X1" s="2933"/>
      <c r="Y1" s="1340"/>
      <c r="Z1" s="2933" t="s">
        <v>2132</v>
      </c>
      <c r="AA1" s="2933"/>
      <c r="AB1" s="2933"/>
      <c r="AC1" s="2933"/>
      <c r="AD1" s="2933"/>
    </row>
    <row customHeight="1" ht="18">
      <c r="A2" s="1187"/>
      <c r="B2" s="1187"/>
      <c r="C2" s="1182" t="s">
        <v>919</v>
      </c>
      <c r="D2" s="1182" t="s">
        <v>965</v>
      </c>
      <c r="E2" s="1182" t="s">
        <v>1018</v>
      </c>
      <c r="F2" s="1182" t="s">
        <v>1005</v>
      </c>
      <c r="G2" s="1182" t="s">
        <v>1736</v>
      </c>
      <c r="H2" s="1184"/>
      <c r="I2" s="1184"/>
      <c r="J2" s="1184"/>
      <c r="K2" s="1184"/>
      <c r="L2" s="1184"/>
      <c r="M2" s="1184"/>
      <c r="N2" s="1184"/>
      <c r="O2" s="1182" t="s">
        <v>919</v>
      </c>
      <c r="P2" s="1182" t="s">
        <v>965</v>
      </c>
      <c r="Q2" s="1182" t="s">
        <v>1005</v>
      </c>
      <c r="R2" s="1182" t="s">
        <v>1018</v>
      </c>
      <c r="S2" s="1182" t="s">
        <v>1736</v>
      </c>
      <c r="T2" s="1182" t="s">
        <v>919</v>
      </c>
      <c r="U2" s="1182" t="s">
        <v>965</v>
      </c>
      <c r="V2" s="1182" t="s">
        <v>1005</v>
      </c>
      <c r="W2" s="1182" t="s">
        <v>1018</v>
      </c>
      <c r="X2" s="1182" t="s">
        <v>1736</v>
      </c>
      <c r="Y2" s="1182"/>
      <c r="Z2" s="1182" t="s">
        <v>919</v>
      </c>
      <c r="AA2" s="1191" t="s">
        <v>965</v>
      </c>
      <c r="AB2" s="1182" t="s">
        <v>1005</v>
      </c>
      <c r="AC2" s="1182" t="s">
        <v>1018</v>
      </c>
      <c r="AD2" s="1182" t="s">
        <v>1736</v>
      </c>
    </row>
    <row customHeight="1" ht="162">
      <c r="A3" s="1186" t="s">
        <v>26</v>
      </c>
      <c r="B3" s="1186"/>
      <c r="C3" s="2937" t="s">
        <v>2133</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84"/>
      <c r="P3" s="1184"/>
      <c r="Q3" s="1184"/>
      <c r="R3" s="1184"/>
      <c r="S3" s="1184"/>
      <c r="T3" s="1184"/>
      <c r="U3" s="1184"/>
      <c r="V3" s="1184"/>
      <c r="W3" s="1184"/>
      <c r="X3" s="1184"/>
      <c r="Y3" s="1341"/>
      <c r="Z3" s="1187" t="s">
        <v>2134</v>
      </c>
      <c r="AA3" s="1184" t="s">
        <v>2135</v>
      </c>
      <c r="AB3" s="1187" t="s">
        <v>2136</v>
      </c>
      <c r="AC3" s="1187" t="s">
        <v>2137</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113</v>
      </c>
      <c r="D11" s="2940" t="s">
        <v>1671</v>
      </c>
      <c r="E11" s="2940" t="s">
        <v>1768</v>
      </c>
      <c r="F11" s="2940" t="s">
        <v>2138</v>
      </c>
      <c r="G11" s="2940"/>
      <c r="H11" s="1239" t="s">
        <v>2139</v>
      </c>
      <c r="I11" s="1239"/>
      <c r="J11" s="1239"/>
      <c r="K11" s="1239"/>
      <c r="L11" s="1239"/>
      <c r="M11" s="1185" t="str">
        <f>IF(TEMPLATE_SPHERE="HEAT",T11,U11)</f>
        <v>Количество поданных заявлений </v>
      </c>
      <c r="N11" s="118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84"/>
      <c r="P11" s="1184"/>
      <c r="Q11" s="1184"/>
      <c r="R11" s="1184"/>
      <c r="S11" s="1184"/>
      <c r="T11" s="1184" t="s">
        <v>2140</v>
      </c>
      <c r="U11" s="1184" t="s">
        <v>2141</v>
      </c>
      <c r="V11" s="1184"/>
      <c r="W11" s="1184"/>
      <c r="X11" s="1184"/>
      <c r="Y11" s="1341"/>
      <c r="Z11" s="1187" t="s">
        <v>2142</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87"/>
      <c r="AC11" s="1187"/>
      <c r="AD11" s="1187"/>
    </row>
    <row customHeight="1" ht="45">
      <c r="A12" s="2934"/>
      <c r="B12" s="1240">
        <v>2</v>
      </c>
      <c r="C12" s="2941"/>
      <c r="D12" s="2941"/>
      <c r="E12" s="2941"/>
      <c r="F12" s="2941"/>
      <c r="G12" s="2941"/>
      <c r="H12" s="1239" t="s">
        <v>2143</v>
      </c>
      <c r="I12" s="1239"/>
      <c r="J12" s="1239"/>
      <c r="K12" s="1239"/>
      <c r="L12" s="1239"/>
      <c r="M12" s="1185" t="str">
        <f>IF(TEMPLATE_SPHERE="HEAT",T12,U12)</f>
        <v>Количество исполненных заявлений </v>
      </c>
      <c r="N12" s="118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84"/>
      <c r="P12" s="1184"/>
      <c r="Q12" s="1184"/>
      <c r="R12" s="1184"/>
      <c r="S12" s="1184"/>
      <c r="T12" s="1184" t="s">
        <v>2144</v>
      </c>
      <c r="U12" s="1184" t="s">
        <v>2145</v>
      </c>
      <c r="V12" s="1184"/>
      <c r="W12" s="1184"/>
      <c r="X12" s="1184"/>
      <c r="Y12" s="1341"/>
      <c r="Z12" s="1187" t="s">
        <v>2146</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87"/>
      <c r="AC12" s="1187"/>
      <c r="AD12" s="1187"/>
    </row>
    <row customHeight="1" ht="72">
      <c r="A13" s="2934"/>
      <c r="B13" s="1240">
        <v>3</v>
      </c>
      <c r="C13" s="2941"/>
      <c r="D13" s="2941"/>
      <c r="E13" s="2941"/>
      <c r="F13" s="2941"/>
      <c r="G13" s="2941"/>
      <c r="H13" s="2933" t="s">
        <v>2147</v>
      </c>
      <c r="I13" s="1239"/>
      <c r="J13" s="1239"/>
      <c r="K13" s="1239"/>
      <c r="L13" s="1239"/>
      <c r="M13" s="11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84"/>
      <c r="P13" s="1185"/>
      <c r="Q13" s="1185"/>
      <c r="R13" s="1185"/>
      <c r="S13" s="1184"/>
      <c r="T13" s="1184" t="s">
        <v>2148</v>
      </c>
      <c r="U13" s="1185" t="s">
        <v>2149</v>
      </c>
      <c r="V13" s="1185"/>
      <c r="W13" s="1185"/>
      <c r="X13" s="1184"/>
      <c r="Y13" s="1341"/>
      <c r="Z13" s="1187" t="s">
        <v>2150</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2151</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85"/>
      <c r="W14" s="1185"/>
      <c r="X14" s="1184"/>
      <c r="Y14" s="1341"/>
      <c r="Z14" s="1187" t="s">
        <v>2152</v>
      </c>
      <c r="AA14" s="1190" t="s">
        <v>2152</v>
      </c>
      <c r="AB14" s="1187"/>
      <c r="AC14" s="1187"/>
      <c r="AD14" s="1187"/>
    </row>
    <row customHeight="1" ht="108">
      <c r="A15" s="2934"/>
      <c r="B15" s="1240">
        <v>5</v>
      </c>
      <c r="C15" s="2941"/>
      <c r="D15" s="2941"/>
      <c r="E15" s="2941"/>
      <c r="F15" s="2941"/>
      <c r="G15" s="2941"/>
      <c r="H15" s="2935" t="s">
        <v>2153</v>
      </c>
      <c r="I15" s="1241"/>
      <c r="J15" s="1241"/>
      <c r="K15" s="1241"/>
      <c r="L15" s="1241"/>
      <c r="M15" s="119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8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84"/>
      <c r="P15" s="1185"/>
      <c r="Q15" s="1185"/>
      <c r="R15" s="1185"/>
      <c r="S15" s="1184"/>
      <c r="T15" s="1184" t="s">
        <v>2154</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85"/>
      <c r="W15" s="1185"/>
      <c r="X15" s="1184"/>
      <c r="Y15" s="1341"/>
      <c r="Z15" s="1187" t="s">
        <v>2155</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84"/>
      <c r="P16" s="1185"/>
      <c r="Q16" s="1185"/>
      <c r="R16" s="1185"/>
      <c r="S16" s="1184"/>
      <c r="T16" s="1184"/>
      <c r="U16" s="1185"/>
      <c r="V16" s="1185"/>
      <c r="W16" s="1185"/>
      <c r="X16" s="1184"/>
      <c r="Y16" s="1341"/>
      <c r="Z16" s="1187" t="s">
        <v>2155</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1771</v>
      </c>
      <c r="B18" s="1240">
        <v>1</v>
      </c>
      <c r="C18" s="1184" t="s">
        <v>2139</v>
      </c>
      <c r="D18" s="1308" t="s">
        <v>2139</v>
      </c>
      <c r="E18" s="1184" t="s">
        <v>2139</v>
      </c>
      <c r="F18" s="1184" t="s">
        <v>2139</v>
      </c>
      <c r="G18" s="1184"/>
      <c r="H18" s="1343"/>
      <c r="I18" s="1346">
        <f>INDEX(TEMPLATE_NUMBER_POINT_FHD,B18,MATCH(TEMPLATE_SPHERE,TEMPLATE_SPHERE_LIST_FOR_NOTE,0))</f>
        <v>1</v>
      </c>
      <c r="J18" s="1346" t="str">
        <f>INDEX(TEMPLATE_DATA_POINT_FHD,B18,MATCH(TEMPLATE_SPHERE,TEMPLATE_SPHERE_LIST_FOR_NOTE,0))</f>
        <v>Выручка от регулируемых видов деятельности в сфере холодного водоснабжения</v>
      </c>
      <c r="K18" s="1346" t="str">
        <f>INDEX(TEMPLATE_NOTE_POINT_FHD,B18,MATCH(TEMPLATE_SPHERE,TEMPLATE_SPHERE_LIST_FOR_NOTE,0))</f>
        <v>Указывается выручка с распределением по видам деятельности.</v>
      </c>
      <c r="L18" s="1185">
        <f>IF(I18=0,"",I18)</f>
        <v>1</v>
      </c>
      <c r="M18" s="1185" t="str">
        <f>IF(J18=0,"",J18)</f>
        <v>Выручка от регулируемых видов деятельности в сфере холодного водоснабжения</v>
      </c>
      <c r="N18" s="1185" t="str">
        <f>IF(K18=0,"",K18)</f>
        <v>Указывается выручка с распределением по видам деятельности.</v>
      </c>
      <c r="O18" s="1298">
        <v>1</v>
      </c>
      <c r="P18" s="1298">
        <v>1</v>
      </c>
      <c r="Q18" s="1298">
        <v>1</v>
      </c>
      <c r="R18" s="1298">
        <v>1</v>
      </c>
      <c r="S18" s="1298"/>
      <c r="T18" s="1305" t="s">
        <v>2156</v>
      </c>
      <c r="U18" s="1187" t="s">
        <v>2157</v>
      </c>
      <c r="V18" s="1187" t="s">
        <v>2158</v>
      </c>
      <c r="W18" s="1187" t="s">
        <v>2159</v>
      </c>
      <c r="X18" s="1184"/>
      <c r="Y18" s="1341"/>
      <c r="Z18" s="1187" t="s">
        <v>2160</v>
      </c>
      <c r="AA18" s="1190" t="s">
        <v>2161</v>
      </c>
      <c r="AB18" s="1190" t="s">
        <v>2161</v>
      </c>
      <c r="AC18" s="1190" t="s">
        <v>2161</v>
      </c>
      <c r="AD18" s="1187"/>
    </row>
    <row customHeight="1" ht="36">
      <c r="A19" s="1186"/>
      <c r="B19" s="1240">
        <v>2</v>
      </c>
      <c r="C19" s="1184" t="s">
        <v>2143</v>
      </c>
      <c r="D19" s="1308" t="s">
        <v>2143</v>
      </c>
      <c r="E19" s="1184" t="s">
        <v>2143</v>
      </c>
      <c r="F19" s="1184" t="s">
        <v>2143</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регулируемым видам деятельности в сфере холодного водоснабжения, включая:</v>
      </c>
      <c r="N19" s="1185" t="str">
        <f>IF(K19=0,"",K19)</f>
        <v>Указывается суммарная себестоимость производимых товаров.</v>
      </c>
      <c r="O19" s="1298">
        <v>2</v>
      </c>
      <c r="P19" s="1298">
        <v>2</v>
      </c>
      <c r="Q19" s="1298">
        <v>2</v>
      </c>
      <c r="R19" s="1298">
        <v>2</v>
      </c>
      <c r="S19" s="1298"/>
      <c r="T19" s="1305" t="s">
        <v>2162</v>
      </c>
      <c r="U19" s="1187" t="s">
        <v>2163</v>
      </c>
      <c r="V19" s="1187" t="s">
        <v>2164</v>
      </c>
      <c r="W19" s="1187" t="s">
        <v>2165</v>
      </c>
      <c r="X19" s="1184"/>
      <c r="Y19" s="1341"/>
      <c r="Z19" s="1187" t="s">
        <v>2166</v>
      </c>
      <c r="AA19" s="1190" t="s">
        <v>2166</v>
      </c>
      <c r="AB19" s="1190" t="s">
        <v>2166</v>
      </c>
      <c r="AC19" s="1190" t="s">
        <v>2166</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46">
        <f>INDEX(TEMPLATE_NOTE_POINT_FHD,B20,MATCH(TEMPLATE_SPHERE,TEMPLATE_SPHERE_LIST_FOR_NOTE,0))</f>
        <v>0</v>
      </c>
      <c r="L20" s="1185" t="str">
        <f>IF(I20=0,"",I20)</f>
        <v>2.1</v>
      </c>
      <c r="M20" s="1185" t="str">
        <f>IF(J20=0,"",J20)</f>
        <v>Расходы на оплату холодной воды, приобретаемой у других организаций для последующей подачи потребителям</v>
      </c>
      <c r="N20" s="1185" t="str">
        <f>IF(K20=0,"",K20)</f>
        <v/>
      </c>
      <c r="O20" s="1298" t="s">
        <v>820</v>
      </c>
      <c r="P20" s="1298" t="s">
        <v>820</v>
      </c>
      <c r="Q20" s="1298" t="s">
        <v>820</v>
      </c>
      <c r="R20" s="1298" t="s">
        <v>820</v>
      </c>
      <c r="S20" s="1298"/>
      <c r="T20" s="1305" t="s">
        <v>2167</v>
      </c>
      <c r="U20" s="1187" t="s">
        <v>2168</v>
      </c>
      <c r="V20" s="1187" t="s">
        <v>2169</v>
      </c>
      <c r="W20" s="1187" t="s">
        <v>2170</v>
      </c>
      <c r="X20" s="1184"/>
      <c r="Y20" s="1341"/>
      <c r="Z20" s="1187"/>
      <c r="AA20" s="1190"/>
      <c r="AB20" s="1187"/>
      <c r="AC20" s="1187"/>
      <c r="AD20" s="1187"/>
    </row>
    <row customHeight="1" ht="36">
      <c r="A21" s="1186"/>
      <c r="B21" s="1240">
        <v>4</v>
      </c>
      <c r="C21" s="1184">
        <v>2</v>
      </c>
      <c r="D21" s="1308"/>
      <c r="E21" s="1184"/>
      <c r="F21" s="1184"/>
      <c r="G21" s="1184"/>
      <c r="H21" s="1343"/>
      <c r="I21" s="1346">
        <f>INDEX(TEMPLATE_NUMBER_POINT_FHD,B21,MATCH(TEMPLATE_SPHERE,TEMPLATE_SPHERE_LIST_FOR_NOTE,0))</f>
        <v>0</v>
      </c>
      <c r="J21" s="1346">
        <f>INDEX(TEMPLATE_DATA_POINT_FHD,B21,MATCH(TEMPLATE_SPHERE,TEMPLATE_SPHERE_LIST_FOR_NOTE,0))</f>
        <v>0</v>
      </c>
      <c r="K21" s="1346">
        <f>INDEX(TEMPLATE_NOTE_POINT_FHD,B21,MATCH(TEMPLATE_SPHERE,TEMPLATE_SPHERE_LIST_FOR_NOTE,0))</f>
        <v>0</v>
      </c>
      <c r="L21" s="1185" t="str">
        <f>IF(I21=0,"",I21)</f>
        <v/>
      </c>
      <c r="M21" s="1185" t="str">
        <f>IF(J21=0,"",J21)</f>
        <v/>
      </c>
      <c r="N21" s="1185" t="str">
        <f>IF(K21=0,"",K21)</f>
        <v/>
      </c>
      <c r="O21" s="1298" t="s">
        <v>421</v>
      </c>
      <c r="P21" s="1298"/>
      <c r="Q21" s="1298"/>
      <c r="R21" s="1298"/>
      <c r="S21" s="1298"/>
      <c r="T21" s="1305" t="s">
        <v>2171</v>
      </c>
      <c r="U21" s="1187"/>
      <c r="V21" s="1187"/>
      <c r="W21" s="1187"/>
      <c r="X21" s="1184"/>
      <c r="Y21" s="1341"/>
      <c r="Z21" s="1187" t="s">
        <v>2172</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421</v>
      </c>
      <c r="R22" s="1298"/>
      <c r="S22" s="1298"/>
      <c r="T22" s="1305"/>
      <c r="U22" s="1187"/>
      <c r="V22" s="1187" t="s">
        <v>2173</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424</v>
      </c>
      <c r="R23" s="1298"/>
      <c r="S23" s="1298"/>
      <c r="T23" s="1305"/>
      <c r="U23" s="1187"/>
      <c r="V23" s="1187" t="s">
        <v>2174</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840</v>
      </c>
      <c r="R24" s="1298"/>
      <c r="S24" s="1298"/>
      <c r="T24" s="1305"/>
      <c r="U24" s="1187"/>
      <c r="V24" s="1187" t="s">
        <v>2175</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2.2</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2.2</v>
      </c>
      <c r="M25" s="1185" t="str">
        <f>IF(J25=0,"",J25)</f>
        <v>Расходы на приобретаемую электрическую энергию (мощность), используемую в технологическом процессе</v>
      </c>
      <c r="N25" s="1185" t="str">
        <f>IF(K25=0,"",K25)</f>
        <v/>
      </c>
      <c r="O25" s="1298" t="s">
        <v>424</v>
      </c>
      <c r="P25" s="1298" t="s">
        <v>421</v>
      </c>
      <c r="Q25" s="1298" t="s">
        <v>847</v>
      </c>
      <c r="R25" s="1298" t="s">
        <v>421</v>
      </c>
      <c r="S25" s="1298"/>
      <c r="T25" s="1305" t="s">
        <v>2176</v>
      </c>
      <c r="U25" s="1187" t="s">
        <v>2176</v>
      </c>
      <c r="V25" s="1187" t="s">
        <v>2176</v>
      </c>
      <c r="W25" s="1187" t="s">
        <v>2176</v>
      </c>
      <c r="X25" s="1184"/>
      <c r="Y25" s="1341"/>
      <c r="Z25" s="1187"/>
      <c r="AA25" s="1190"/>
      <c r="AB25" s="1187"/>
      <c r="AC25" s="1187"/>
      <c r="AD25" s="1187"/>
    </row>
    <row customHeight="1" ht="18">
      <c r="A26" s="1186"/>
      <c r="B26" s="1240">
        <v>9</v>
      </c>
      <c r="C26" s="1184" t="s">
        <v>764</v>
      </c>
      <c r="D26" s="1308"/>
      <c r="E26" s="1184"/>
      <c r="F26" s="1184"/>
      <c r="G26" s="1232"/>
      <c r="H26" s="1299"/>
      <c r="I26" s="1346" t="str">
        <f>INDEX(TEMPLATE_NUMBER_POINT_FHD,B26,MATCH(TEMPLATE_SPHERE,TEMPLATE_SPHERE_LIST_FOR_NOTE,0))</f>
        <v>2.2.1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2.2.1</v>
      </c>
      <c r="M26" s="1185" t="str">
        <f>IF(J26=0,"",J26)</f>
        <v>Средневзвешенная стоимость 1 кВт.ч (с учетом мощности)</v>
      </c>
      <c r="N26" s="1185" t="str">
        <f>IF(K26=0,"",K26)</f>
        <v/>
      </c>
      <c r="O26" s="1298" t="s">
        <v>836</v>
      </c>
      <c r="P26" s="1298" t="s">
        <v>830</v>
      </c>
      <c r="Q26" s="1298" t="s">
        <v>2177</v>
      </c>
      <c r="R26" s="1298" t="s">
        <v>830</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2178</v>
      </c>
      <c r="V26" s="1305" t="s">
        <v>2178</v>
      </c>
      <c r="W26" s="1305" t="s">
        <v>2178</v>
      </c>
      <c r="X26" s="1184"/>
      <c r="Y26" s="1341"/>
      <c r="Z26" s="1187"/>
      <c r="AA26" s="1190"/>
      <c r="AB26" s="1187"/>
      <c r="AC26" s="1187"/>
      <c r="AD26" s="1187"/>
    </row>
    <row customHeight="1" ht="18">
      <c r="A27" s="1186"/>
      <c r="B27" s="1240">
        <v>10</v>
      </c>
      <c r="C27" s="1184" t="s">
        <v>768</v>
      </c>
      <c r="D27" s="1308"/>
      <c r="E27" s="1184"/>
      <c r="F27" s="1184"/>
      <c r="G27" s="1232"/>
      <c r="H27" s="1299"/>
      <c r="I27" s="1346" t="str">
        <f>INDEX(TEMPLATE_NUMBER_POINT_FHD,B27,MATCH(TEMPLATE_SPHERE,TEMPLATE_SPHERE_LIST_FOR_NOTE,0))</f>
        <v>2.2.2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2.2.2</v>
      </c>
      <c r="M27" s="1185" t="str">
        <f>IF(J27=0,"",J27)</f>
        <v>Объём приобретения электрической энергии</v>
      </c>
      <c r="N27" s="1185" t="str">
        <f>IF(K27=0,"",K27)</f>
        <v/>
      </c>
      <c r="O27" s="1298" t="s">
        <v>838</v>
      </c>
      <c r="P27" s="1298" t="s">
        <v>832</v>
      </c>
      <c r="Q27" s="1298" t="s">
        <v>2179</v>
      </c>
      <c r="R27" s="1298" t="s">
        <v>832</v>
      </c>
      <c r="S27" s="1298"/>
      <c r="T27" s="1305" t="s">
        <v>2180</v>
      </c>
      <c r="U27" s="1305" t="s">
        <v>2180</v>
      </c>
      <c r="V27" s="1305" t="s">
        <v>2180</v>
      </c>
      <c r="W27" s="1305" t="s">
        <v>2180</v>
      </c>
      <c r="X27" s="1184"/>
      <c r="Y27" s="1341"/>
      <c r="Z27" s="1187"/>
      <c r="AA27" s="1190"/>
      <c r="AB27" s="1187"/>
      <c r="AC27" s="1187"/>
      <c r="AD27" s="1187"/>
    </row>
    <row customHeight="1" ht="27">
      <c r="A28" s="1186"/>
      <c r="B28" s="1240">
        <v>11</v>
      </c>
      <c r="C28" s="1184">
        <v>7</v>
      </c>
      <c r="D28" s="1308"/>
      <c r="E28" s="1184"/>
      <c r="F28" s="1184"/>
      <c r="G28" s="1232"/>
      <c r="H28" s="1299"/>
      <c r="I28" s="1346">
        <f>INDEX(TEMPLATE_NUMBER_POINT_FHD,B28,MATCH(TEMPLATE_SPHERE,TEMPLATE_SPHERE_LIST_FOR_NOTE,0))</f>
        <v>0</v>
      </c>
      <c r="J28" s="1346">
        <f>INDEX(TEMPLATE_DATA_POINT_FHD,B28,MATCH(TEMPLATE_SPHERE,TEMPLATE_SPHERE_LIST_FOR_NOTE,0))</f>
        <v>0</v>
      </c>
      <c r="K28" s="1346">
        <f>INDEX(TEMPLATE_NOTE_POINT_FHD,B28,MATCH(TEMPLATE_SPHERE,TEMPLATE_SPHERE_LIST_FOR_NOTE,0))</f>
        <v>0</v>
      </c>
      <c r="L28" s="1185" t="str">
        <f>IF(I28=0,"",I28)</f>
        <v/>
      </c>
      <c r="M28" s="1185" t="str">
        <f>IF(J28=0,"",J28)</f>
        <v/>
      </c>
      <c r="N28" s="1185" t="str">
        <f>IF(K28=0,"",K28)</f>
        <v/>
      </c>
      <c r="O28" s="1298" t="s">
        <v>840</v>
      </c>
      <c r="P28" s="1298"/>
      <c r="Q28" s="1298"/>
      <c r="R28" s="1298"/>
      <c r="S28" s="1298"/>
      <c r="T28" s="1305" t="s">
        <v>2181</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2.3</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2.3</v>
      </c>
      <c r="M29" s="1185" t="str">
        <f>IF(J29=0,"",J29)</f>
        <v>Расходы на химические реагенты, используемые в технологическом процессе</v>
      </c>
      <c r="N29" s="1185" t="str">
        <f>IF(K29=0,"",K29)</f>
        <v/>
      </c>
      <c r="O29" s="1298" t="s">
        <v>847</v>
      </c>
      <c r="P29" s="1298" t="s">
        <v>424</v>
      </c>
      <c r="Q29" s="1298"/>
      <c r="R29" s="1298" t="s">
        <v>424</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2182</v>
      </c>
      <c r="V29" s="1187"/>
      <c r="W29" s="1187" t="s">
        <v>2182</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2.4</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5" t="str">
        <f>IF(I30=0,"",I30)</f>
        <v>2.4</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Указывается общая сумма расходов на оплату труда и отчислений на социальные нужды основного производственного персонала.</v>
      </c>
      <c r="O30" s="1298" t="s">
        <v>849</v>
      </c>
      <c r="P30" s="1298" t="s">
        <v>840</v>
      </c>
      <c r="Q30" s="1298" t="s">
        <v>849</v>
      </c>
      <c r="R30" s="1298" t="s">
        <v>840</v>
      </c>
      <c r="S30" s="1298"/>
      <c r="T30" s="1305" t="s">
        <v>2183</v>
      </c>
      <c r="U30" s="1187" t="s">
        <v>2183</v>
      </c>
      <c r="V30" s="1187" t="s">
        <v>2183</v>
      </c>
      <c r="W30" s="1187" t="s">
        <v>2183</v>
      </c>
      <c r="X30" s="1184"/>
      <c r="Y30" s="1341"/>
      <c r="Z30" s="1187"/>
      <c r="AA30" s="1190" t="s">
        <v>2184</v>
      </c>
      <c r="AB30" s="1190" t="s">
        <v>2184</v>
      </c>
      <c r="AC30" s="1190" t="s">
        <v>2184</v>
      </c>
      <c r="AD30" s="1187"/>
    </row>
    <row customHeight="1" ht="18">
      <c r="A31" s="1186"/>
      <c r="B31" s="1240">
        <v>14</v>
      </c>
      <c r="C31" s="1184" t="s">
        <v>2185</v>
      </c>
      <c r="D31" s="1308"/>
      <c r="E31" s="1184"/>
      <c r="F31" s="1184"/>
      <c r="G31" s="1232"/>
      <c r="H31" s="1299"/>
      <c r="I31" s="1346" t="str">
        <f>INDEX(TEMPLATE_NUMBER_POINT_FHD,B31,MATCH(TEMPLATE_SPHERE,TEMPLATE_SPHERE_LIST_FOR_NOTE,0))</f>
        <v>2.4.1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2.4.1</v>
      </c>
      <c r="M31" s="1185" t="str">
        <f>IF(J31=0,"",J31)</f>
        <v>Расходы на оплату труда основного производственного персонала</v>
      </c>
      <c r="N31" s="1185" t="str">
        <f>IF(K31=0,"",K31)</f>
        <v/>
      </c>
      <c r="O31" s="1298" t="s">
        <v>2186</v>
      </c>
      <c r="P31" s="1298" t="s">
        <v>843</v>
      </c>
      <c r="Q31" s="1298" t="s">
        <v>2186</v>
      </c>
      <c r="R31" s="1298" t="s">
        <v>843</v>
      </c>
      <c r="S31" s="1298"/>
      <c r="T31" s="1306" t="s">
        <v>2187</v>
      </c>
      <c r="U31" s="1187" t="s">
        <v>2187</v>
      </c>
      <c r="V31" s="1187" t="s">
        <v>2187</v>
      </c>
      <c r="W31" s="1187" t="s">
        <v>2187</v>
      </c>
      <c r="X31" s="1184"/>
      <c r="Y31" s="1341"/>
      <c r="Z31" s="1187"/>
      <c r="AA31" s="1190"/>
      <c r="AB31" s="1190"/>
      <c r="AC31" s="1190"/>
      <c r="AD31" s="1187"/>
    </row>
    <row customHeight="1" ht="36">
      <c r="A32" s="1186"/>
      <c r="B32" s="1240">
        <v>15</v>
      </c>
      <c r="C32" s="1184" t="s">
        <v>2188</v>
      </c>
      <c r="D32" s="1308"/>
      <c r="E32" s="1184"/>
      <c r="F32" s="1184"/>
      <c r="G32" s="1232"/>
      <c r="H32" s="1299"/>
      <c r="I32" s="1346" t="str">
        <f>INDEX(TEMPLATE_NUMBER_POINT_FHD,B32,MATCH(TEMPLATE_SPHERE,TEMPLATE_SPHERE_LIST_FOR_NOTE,0))</f>
        <v>2.4.2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2.4.2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2189</v>
      </c>
      <c r="P32" s="1298" t="s">
        <v>845</v>
      </c>
      <c r="Q32" s="1298" t="s">
        <v>2189</v>
      </c>
      <c r="R32" s="1298" t="s">
        <v>845</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2190</v>
      </c>
      <c r="V32" s="1187" t="s">
        <v>2190</v>
      </c>
      <c r="W32" s="1187" t="s">
        <v>2190</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2.5</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5" t="str">
        <f>IF(I33=0,"",I33)</f>
        <v>2.5</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Указывается общая сумма расходов на оплату труда и отчислений на социальные нужды административно-управленческого персонала.</v>
      </c>
      <c r="O33" s="1298" t="s">
        <v>851</v>
      </c>
      <c r="P33" s="1298" t="s">
        <v>847</v>
      </c>
      <c r="Q33" s="1298" t="s">
        <v>851</v>
      </c>
      <c r="R33" s="1298" t="s">
        <v>847</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2191</v>
      </c>
      <c r="V33" s="1187" t="s">
        <v>2191</v>
      </c>
      <c r="W33" s="1187" t="s">
        <v>2192</v>
      </c>
      <c r="X33" s="1184"/>
      <c r="Y33" s="1341"/>
      <c r="Z33" s="1187"/>
      <c r="AA33" s="1190" t="s">
        <v>2193</v>
      </c>
      <c r="AB33" s="1190" t="s">
        <v>2193</v>
      </c>
      <c r="AC33" s="1190" t="s">
        <v>2193</v>
      </c>
      <c r="AD33" s="1187"/>
    </row>
    <row customHeight="1" ht="27">
      <c r="A34" s="1186"/>
      <c r="B34" s="1240">
        <v>17</v>
      </c>
      <c r="C34" s="1184" t="s">
        <v>2194</v>
      </c>
      <c r="D34" s="1308"/>
      <c r="E34" s="1184"/>
      <c r="F34" s="1184"/>
      <c r="G34" s="1232"/>
      <c r="H34" s="1299"/>
      <c r="I34" s="1346" t="str">
        <f>INDEX(TEMPLATE_NUMBER_POINT_FHD,B34,MATCH(TEMPLATE_SPHERE,TEMPLATE_SPHERE_LIST_FOR_NOTE,0))</f>
        <v>2.5.1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2.5.1</v>
      </c>
      <c r="M34" s="1185" t="str">
        <f>IF(J34=0,"",J34)</f>
        <v>Расходы на оплату труда административно-управленческого персонала</v>
      </c>
      <c r="N34" s="1185" t="str">
        <f>IF(K34=0,"",K34)</f>
        <v/>
      </c>
      <c r="O34" s="1298" t="s">
        <v>2195</v>
      </c>
      <c r="P34" s="1298" t="s">
        <v>2177</v>
      </c>
      <c r="Q34" s="1298" t="s">
        <v>2195</v>
      </c>
      <c r="R34" s="1298" t="s">
        <v>2177</v>
      </c>
      <c r="S34" s="1298"/>
      <c r="T34" s="1307" t="s">
        <v>2196</v>
      </c>
      <c r="U34" s="1187" t="s">
        <v>2196</v>
      </c>
      <c r="V34" s="1187" t="s">
        <v>2196</v>
      </c>
      <c r="W34" s="1187" t="s">
        <v>2197</v>
      </c>
      <c r="X34" s="1184"/>
      <c r="Y34" s="1341"/>
      <c r="Z34" s="1187"/>
      <c r="AA34" s="1190"/>
      <c r="AB34" s="1187"/>
      <c r="AC34" s="1187"/>
      <c r="AD34" s="1187"/>
    </row>
    <row customHeight="1" ht="45">
      <c r="A35" s="1186"/>
      <c r="B35" s="1240">
        <v>18</v>
      </c>
      <c r="C35" s="1184" t="s">
        <v>2198</v>
      </c>
      <c r="D35" s="1308"/>
      <c r="E35" s="1184"/>
      <c r="F35" s="1184"/>
      <c r="G35" s="1232"/>
      <c r="H35" s="1299"/>
      <c r="I35" s="1346" t="str">
        <f>INDEX(TEMPLATE_NUMBER_POINT_FHD,B35,MATCH(TEMPLATE_SPHERE,TEMPLATE_SPHERE_LIST_FOR_NOTE,0))</f>
        <v>2.5.2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2.5.2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2199</v>
      </c>
      <c r="P35" s="1298" t="s">
        <v>2179</v>
      </c>
      <c r="Q35" s="1298" t="s">
        <v>2199</v>
      </c>
      <c r="R35" s="1298" t="s">
        <v>2179</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2200</v>
      </c>
      <c r="V35" s="1187" t="s">
        <v>2200</v>
      </c>
      <c r="W35" s="1187" t="s">
        <v>2200</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2.6</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2.6</v>
      </c>
      <c r="M36" s="1185" t="str">
        <f>IF(J36=0,"",J36)</f>
        <v>Расходы на амортизацию основных средств и нематериальных активов</v>
      </c>
      <c r="N36" s="1185" t="str">
        <f>IF(K36=0,"",K36)</f>
        <v/>
      </c>
      <c r="O36" s="1298" t="s">
        <v>853</v>
      </c>
      <c r="P36" s="1298" t="s">
        <v>849</v>
      </c>
      <c r="Q36" s="1298" t="s">
        <v>853</v>
      </c>
      <c r="R36" s="1298" t="s">
        <v>849</v>
      </c>
      <c r="S36" s="1298"/>
      <c r="T36" s="1305" t="s">
        <v>2201</v>
      </c>
      <c r="U36" s="1187" t="s">
        <v>2201</v>
      </c>
      <c r="V36" s="1187" t="s">
        <v>2201</v>
      </c>
      <c r="W36" s="1187" t="s">
        <v>2201</v>
      </c>
      <c r="X36" s="1184"/>
      <c r="Y36" s="1341"/>
      <c r="Z36" s="1187"/>
      <c r="AA36" s="1190"/>
      <c r="AB36" s="1187"/>
      <c r="AC36" s="1187"/>
      <c r="AD36" s="1187"/>
    </row>
    <row customHeight="1" ht="18">
      <c r="A37" s="1186"/>
      <c r="B37" s="1240">
        <v>20</v>
      </c>
      <c r="C37" s="1184" t="s">
        <v>2202</v>
      </c>
      <c r="D37" s="1308"/>
      <c r="E37" s="1184"/>
      <c r="F37" s="1184"/>
      <c r="G37" s="1232"/>
      <c r="H37" s="1299"/>
      <c r="I37" s="1346" t="str">
        <f>INDEX(TEMPLATE_NUMBER_POINT_FHD,B37,MATCH(TEMPLATE_SPHERE,TEMPLATE_SPHERE_LIST_FOR_NOTE,0))</f>
        <v>2.6.1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2.6.1</v>
      </c>
      <c r="M37" s="1185" t="str">
        <f>IF(J37=0,"",J37)</f>
        <v>Расходы на амортизацию основных средств</v>
      </c>
      <c r="N37" s="1185" t="str">
        <f>IF(K37=0,"",K37)</f>
        <v/>
      </c>
      <c r="O37" s="1298" t="s">
        <v>2203</v>
      </c>
      <c r="P37" s="1298" t="s">
        <v>2186</v>
      </c>
      <c r="Q37" s="1298" t="s">
        <v>2203</v>
      </c>
      <c r="R37" s="1298" t="s">
        <v>2186</v>
      </c>
      <c r="S37" s="1298"/>
      <c r="T37" s="1305" t="s">
        <v>2204</v>
      </c>
      <c r="U37" s="1187" t="s">
        <v>2204</v>
      </c>
      <c r="V37" s="1187" t="s">
        <v>2204</v>
      </c>
      <c r="W37" s="1187" t="s">
        <v>2204</v>
      </c>
      <c r="X37" s="1184"/>
      <c r="Y37" s="1341"/>
      <c r="Z37" s="1187"/>
      <c r="AA37" s="1190"/>
      <c r="AB37" s="1187"/>
      <c r="AC37" s="1187"/>
      <c r="AD37" s="1187"/>
    </row>
    <row customHeight="1" ht="18">
      <c r="A38" s="1186"/>
      <c r="B38" s="1240">
        <v>21</v>
      </c>
      <c r="C38" s="1184" t="s">
        <v>2205</v>
      </c>
      <c r="D38" s="1308"/>
      <c r="E38" s="1184"/>
      <c r="F38" s="1184"/>
      <c r="G38" s="1232"/>
      <c r="H38" s="1299"/>
      <c r="I38" s="1346" t="str">
        <f>INDEX(TEMPLATE_NUMBER_POINT_FHD,B38,MATCH(TEMPLATE_SPHERE,TEMPLATE_SPHERE_LIST_FOR_NOTE,0))</f>
        <v>2.6.2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2.6.2</v>
      </c>
      <c r="M38" s="1185" t="str">
        <f>IF(J38=0,"",J38)</f>
        <v>Расходы на амортизацию нематериальных активов</v>
      </c>
      <c r="N38" s="1185" t="str">
        <f>IF(K38=0,"",K38)</f>
        <v/>
      </c>
      <c r="O38" s="1298" t="s">
        <v>2206</v>
      </c>
      <c r="P38" s="1298" t="s">
        <v>2189</v>
      </c>
      <c r="Q38" s="1298" t="s">
        <v>2206</v>
      </c>
      <c r="R38" s="1298" t="s">
        <v>2189</v>
      </c>
      <c r="S38" s="1298"/>
      <c r="T38" s="1305" t="s">
        <v>2207</v>
      </c>
      <c r="U38" s="1187" t="s">
        <v>2207</v>
      </c>
      <c r="V38" s="1187" t="s">
        <v>2207</v>
      </c>
      <c r="W38" s="1187" t="s">
        <v>2207</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2.7</v>
      </c>
      <c r="J39" s="134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46">
        <f>INDEX(TEMPLATE_NOTE_POINT_FHD,B39,MATCH(TEMPLATE_SPHERE,TEMPLATE_SPHERE_LIST_FOR_NOTE,0))</f>
        <v>0</v>
      </c>
      <c r="L39" s="1185" t="str">
        <f>IF(I39=0,"",I39)</f>
        <v>2.7</v>
      </c>
      <c r="M39" s="1185" t="str">
        <f>IF(J39=0,"",J39)</f>
        <v>Расходы на аренду имущества, используемого для осуществления регулируемых видов деятельности в сфере холодного водоснабжения</v>
      </c>
      <c r="N39" s="1185" t="str">
        <f>IF(K39=0,"",K39)</f>
        <v/>
      </c>
      <c r="O39" s="1298" t="s">
        <v>857</v>
      </c>
      <c r="P39" s="1298" t="s">
        <v>851</v>
      </c>
      <c r="Q39" s="1298" t="s">
        <v>857</v>
      </c>
      <c r="R39" s="1298" t="s">
        <v>851</v>
      </c>
      <c r="S39" s="1298"/>
      <c r="T39" s="1305" t="s">
        <v>2208</v>
      </c>
      <c r="U39" s="1187" t="s">
        <v>2209</v>
      </c>
      <c r="V39" s="1187" t="s">
        <v>2210</v>
      </c>
      <c r="W39" s="1187" t="s">
        <v>2211</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2.8</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2.8</v>
      </c>
      <c r="M40" s="1185" t="str">
        <f>IF(J40=0,"",J40)</f>
        <v>Общепроизводственные расходы, в том числе:</v>
      </c>
      <c r="N40" s="1185" t="str">
        <f>IF(K40=0,"",K40)</f>
        <v>Указывается общая сумма общепроизводственных расходов.</v>
      </c>
      <c r="O40" s="1298" t="s">
        <v>2212</v>
      </c>
      <c r="P40" s="1298" t="s">
        <v>853</v>
      </c>
      <c r="Q40" s="1298" t="s">
        <v>2212</v>
      </c>
      <c r="R40" s="1298" t="s">
        <v>853</v>
      </c>
      <c r="S40" s="1298"/>
      <c r="T40" s="1184" t="s">
        <v>2213</v>
      </c>
      <c r="U40" s="1184" t="s">
        <v>2213</v>
      </c>
      <c r="V40" s="1184" t="s">
        <v>2213</v>
      </c>
      <c r="W40" s="1184" t="s">
        <v>2213</v>
      </c>
      <c r="X40" s="1184"/>
      <c r="Y40" s="1341"/>
      <c r="Z40" s="1187" t="s">
        <v>2214</v>
      </c>
      <c r="AA40" s="1190" t="s">
        <v>2214</v>
      </c>
      <c r="AB40" s="1190" t="s">
        <v>2214</v>
      </c>
      <c r="AC40" s="1190" t="s">
        <v>2214</v>
      </c>
      <c r="AD40" s="1187"/>
    </row>
    <row customHeight="1" ht="27">
      <c r="A41" s="1186"/>
      <c r="B41" s="1240">
        <v>24</v>
      </c>
      <c r="C41" s="1184" t="s">
        <v>2215</v>
      </c>
      <c r="D41" s="1308"/>
      <c r="E41" s="1184"/>
      <c r="F41" s="1184"/>
      <c r="G41" s="1184"/>
      <c r="H41" s="1232"/>
      <c r="I41" s="1346" t="str">
        <f>INDEX(TEMPLATE_NUMBER_POINT_FHD,B41,MATCH(TEMPLATE_SPHERE,TEMPLATE_SPHERE_LIST_FOR_NOTE,0))</f>
        <v>2.8.1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2.8.1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2216</v>
      </c>
      <c r="P41" s="1298" t="s">
        <v>2203</v>
      </c>
      <c r="Q41" s="1298" t="s">
        <v>2216</v>
      </c>
      <c r="R41" s="1298" t="s">
        <v>2203</v>
      </c>
      <c r="S41" s="1298"/>
      <c r="T41" s="1184" t="s">
        <v>2217</v>
      </c>
      <c r="U41" s="1184" t="s">
        <v>2217</v>
      </c>
      <c r="V41" s="1184" t="s">
        <v>2217</v>
      </c>
      <c r="W41" s="1184" t="s">
        <v>2217</v>
      </c>
      <c r="X41" s="1184"/>
      <c r="Y41" s="1341"/>
      <c r="Z41" s="1187" t="s">
        <v>2218</v>
      </c>
      <c r="AA41" s="1187" t="s">
        <v>2218</v>
      </c>
      <c r="AB41" s="1187" t="s">
        <v>2218</v>
      </c>
      <c r="AC41" s="1187" t="s">
        <v>2218</v>
      </c>
      <c r="AD41" s="1187"/>
    </row>
    <row customHeight="1" ht="27">
      <c r="A42" s="1186"/>
      <c r="B42" s="1240">
        <v>25</v>
      </c>
      <c r="C42" s="1184" t="s">
        <v>2219</v>
      </c>
      <c r="D42" s="1308"/>
      <c r="E42" s="1184"/>
      <c r="F42" s="1184"/>
      <c r="G42" s="1184"/>
      <c r="H42" s="1232"/>
      <c r="I42" s="1346" t="str">
        <f>INDEX(TEMPLATE_NUMBER_POINT_FHD,B42,MATCH(TEMPLATE_SPHERE,TEMPLATE_SPHERE_LIST_FOR_NOTE,0))</f>
        <v>2.8.2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2.8.2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2220</v>
      </c>
      <c r="P42" s="1298" t="s">
        <v>2206</v>
      </c>
      <c r="Q42" s="1298" t="s">
        <v>2220</v>
      </c>
      <c r="R42" s="1298" t="s">
        <v>2206</v>
      </c>
      <c r="S42" s="1298"/>
      <c r="T42" s="1184" t="s">
        <v>2221</v>
      </c>
      <c r="U42" s="1184" t="s">
        <v>2221</v>
      </c>
      <c r="V42" s="1184" t="s">
        <v>2221</v>
      </c>
      <c r="W42" s="1184" t="s">
        <v>2221</v>
      </c>
      <c r="X42" s="1184"/>
      <c r="Y42" s="1341"/>
      <c r="Z42" s="1187" t="s">
        <v>2222</v>
      </c>
      <c r="AA42" s="1187" t="s">
        <v>2222</v>
      </c>
      <c r="AB42" s="1187" t="s">
        <v>2222</v>
      </c>
      <c r="AC42" s="1187" t="s">
        <v>2222</v>
      </c>
      <c r="AD42" s="1187"/>
    </row>
    <row customHeight="1" ht="18">
      <c r="A43" s="1186"/>
      <c r="B43" s="1240">
        <v>26</v>
      </c>
      <c r="C43" s="1184">
        <v>14</v>
      </c>
      <c r="D43" s="1308"/>
      <c r="E43" s="1184"/>
      <c r="F43" s="1184"/>
      <c r="G43" s="1184"/>
      <c r="H43" s="1232"/>
      <c r="I43" s="1346" t="str">
        <f>INDEX(TEMPLATE_NUMBER_POINT_FHD,B43,MATCH(TEMPLATE_SPHERE,TEMPLATE_SPHERE_LIST_FOR_NOTE,0))</f>
        <v>2.9</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2.9</v>
      </c>
      <c r="M43" s="1185" t="str">
        <f>IF(J43=0,"",J43)</f>
        <v>Общехозяйственные расходы, в том числе:</v>
      </c>
      <c r="N43" s="1185" t="str">
        <f>IF(K43=0,"",K43)</f>
        <v>Указывается общая сумма общехозяйственных расходов.</v>
      </c>
      <c r="O43" s="1298" t="s">
        <v>2223</v>
      </c>
      <c r="P43" s="1298" t="s">
        <v>857</v>
      </c>
      <c r="Q43" s="1298" t="s">
        <v>2223</v>
      </c>
      <c r="R43" s="1298" t="s">
        <v>857</v>
      </c>
      <c r="S43" s="1298"/>
      <c r="T43" s="1184" t="s">
        <v>2224</v>
      </c>
      <c r="U43" s="1184" t="s">
        <v>2224</v>
      </c>
      <c r="V43" s="1184" t="s">
        <v>2224</v>
      </c>
      <c r="W43" s="1184" t="s">
        <v>2224</v>
      </c>
      <c r="X43" s="1184"/>
      <c r="Y43" s="1341"/>
      <c r="Z43" s="1187" t="s">
        <v>2225</v>
      </c>
      <c r="AA43" s="1187" t="s">
        <v>2225</v>
      </c>
      <c r="AB43" s="1187" t="s">
        <v>2225</v>
      </c>
      <c r="AC43" s="1187" t="s">
        <v>2225</v>
      </c>
      <c r="AD43" s="1187"/>
    </row>
    <row customHeight="1" ht="27">
      <c r="A44" s="1186"/>
      <c r="B44" s="1240">
        <v>27</v>
      </c>
      <c r="C44" s="1184" t="s">
        <v>2226</v>
      </c>
      <c r="D44" s="1308"/>
      <c r="E44" s="1184"/>
      <c r="F44" s="1184"/>
      <c r="G44" s="1184"/>
      <c r="H44" s="1232"/>
      <c r="I44" s="1346" t="str">
        <f>INDEX(TEMPLATE_NUMBER_POINT_FHD,B44,MATCH(TEMPLATE_SPHERE,TEMPLATE_SPHERE_LIST_FOR_NOTE,0))</f>
        <v>2.9.1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2.9.1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2227</v>
      </c>
      <c r="P44" s="1298" t="s">
        <v>2228</v>
      </c>
      <c r="Q44" s="1298" t="s">
        <v>2227</v>
      </c>
      <c r="R44" s="1298" t="s">
        <v>2228</v>
      </c>
      <c r="S44" s="1298"/>
      <c r="T44" s="1184" t="s">
        <v>2217</v>
      </c>
      <c r="U44" s="1184" t="s">
        <v>2217</v>
      </c>
      <c r="V44" s="1184" t="s">
        <v>2217</v>
      </c>
      <c r="W44" s="1184" t="s">
        <v>2217</v>
      </c>
      <c r="X44" s="1184"/>
      <c r="Y44" s="1341"/>
      <c r="Z44" s="1187" t="s">
        <v>2229</v>
      </c>
      <c r="AA44" s="1187" t="s">
        <v>2229</v>
      </c>
      <c r="AB44" s="1187" t="s">
        <v>2229</v>
      </c>
      <c r="AC44" s="1187" t="s">
        <v>2229</v>
      </c>
      <c r="AD44" s="1187"/>
    </row>
    <row customHeight="1" ht="27">
      <c r="A45" s="1186"/>
      <c r="B45" s="1240">
        <v>28</v>
      </c>
      <c r="C45" s="1184" t="s">
        <v>2230</v>
      </c>
      <c r="D45" s="1308"/>
      <c r="E45" s="1184"/>
      <c r="F45" s="1184"/>
      <c r="G45" s="1184"/>
      <c r="H45" s="1232"/>
      <c r="I45" s="1346" t="str">
        <f>INDEX(TEMPLATE_NUMBER_POINT_FHD,B45,MATCH(TEMPLATE_SPHERE,TEMPLATE_SPHERE_LIST_FOR_NOTE,0))</f>
        <v>2.9.2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2.9.2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2231</v>
      </c>
      <c r="P45" s="1298" t="s">
        <v>2232</v>
      </c>
      <c r="Q45" s="1298" t="s">
        <v>2231</v>
      </c>
      <c r="R45" s="1298" t="s">
        <v>2232</v>
      </c>
      <c r="S45" s="1298"/>
      <c r="T45" s="1184" t="s">
        <v>2221</v>
      </c>
      <c r="U45" s="1184" t="s">
        <v>2221</v>
      </c>
      <c r="V45" s="1184" t="s">
        <v>2221</v>
      </c>
      <c r="W45" s="1184" t="s">
        <v>2221</v>
      </c>
      <c r="X45" s="1184"/>
      <c r="Y45" s="1341"/>
      <c r="Z45" s="1187" t="s">
        <v>2233</v>
      </c>
      <c r="AA45" s="1187" t="s">
        <v>2233</v>
      </c>
      <c r="AB45" s="1187" t="s">
        <v>2233</v>
      </c>
      <c r="AC45" s="1187" t="s">
        <v>2233</v>
      </c>
      <c r="AD45" s="1187"/>
    </row>
    <row customHeight="1" ht="54">
      <c r="A46" s="1186"/>
      <c r="B46" s="1240">
        <v>29</v>
      </c>
      <c r="C46" s="1184">
        <v>15</v>
      </c>
      <c r="D46" s="1308"/>
      <c r="E46" s="1184"/>
      <c r="F46" s="1184"/>
      <c r="G46" s="1184"/>
      <c r="H46" s="1232"/>
      <c r="I46" s="1346" t="str">
        <f>INDEX(TEMPLATE_NUMBER_POINT_FHD,B46,MATCH(TEMPLATE_SPHERE,TEMPLATE_SPHERE_LIST_FOR_NOTE,0))</f>
        <v>2.10</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2.10</v>
      </c>
      <c r="M46" s="1185" t="str">
        <f>IF(J46=0,"",J46)</f>
        <v>Расходы на капитальный и текущий ремонт основных средств</v>
      </c>
      <c r="N46" s="118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2234</v>
      </c>
      <c r="P46" s="1298" t="s">
        <v>2212</v>
      </c>
      <c r="Q46" s="1298" t="s">
        <v>2234</v>
      </c>
      <c r="R46" s="1298" t="s">
        <v>2212</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2235</v>
      </c>
      <c r="V46" s="1184" t="s">
        <v>2235</v>
      </c>
      <c r="W46" s="1184" t="s">
        <v>2235</v>
      </c>
      <c r="X46" s="1184"/>
      <c r="Y46" s="1341"/>
      <c r="Z46" s="1187" t="s">
        <v>2236</v>
      </c>
      <c r="AA46" s="1187" t="s">
        <v>2237</v>
      </c>
      <c r="AB46" s="1187" t="s">
        <v>2237</v>
      </c>
      <c r="AC46" s="1187" t="s">
        <v>2237</v>
      </c>
      <c r="AD46" s="1187"/>
    </row>
    <row customHeight="1" ht="54">
      <c r="A47" s="1186"/>
      <c r="B47" s="1240">
        <v>30</v>
      </c>
      <c r="C47" s="1184" t="s">
        <v>2238</v>
      </c>
      <c r="D47" s="1308"/>
      <c r="E47" s="1184"/>
      <c r="F47" s="1184"/>
      <c r="G47" s="1184"/>
      <c r="H47" s="1232"/>
      <c r="I47" s="1346" t="str">
        <f>INDEX(TEMPLATE_NUMBER_POINT_FHD,B47,MATCH(TEMPLATE_SPHERE,TEMPLATE_SPHERE_LIST_FOR_NOTE,0))</f>
        <v>2.10.1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2.10.1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2239</v>
      </c>
      <c r="P47" s="1298" t="s">
        <v>2216</v>
      </c>
      <c r="Q47" s="1298" t="s">
        <v>2239</v>
      </c>
      <c r="R47" s="1298" t="s">
        <v>2216</v>
      </c>
      <c r="S47" s="1298"/>
      <c r="T47" s="1184" t="s">
        <v>2240</v>
      </c>
      <c r="U47" s="1184" t="s">
        <v>2240</v>
      </c>
      <c r="V47" s="1184" t="s">
        <v>2240</v>
      </c>
      <c r="W47" s="1184" t="s">
        <v>2240</v>
      </c>
      <c r="X47" s="1184"/>
      <c r="Y47" s="1341"/>
      <c r="Z47" s="1187"/>
      <c r="AA47" s="1190"/>
      <c r="AB47" s="1190"/>
      <c r="AC47" s="1190"/>
      <c r="AD47" s="1187"/>
    </row>
    <row customHeight="1" ht="54">
      <c r="A48" s="1186"/>
      <c r="B48" s="1240">
        <v>31</v>
      </c>
      <c r="C48" s="1184">
        <v>16</v>
      </c>
      <c r="D48" s="1308"/>
      <c r="E48" s="1184"/>
      <c r="F48" s="1184"/>
      <c r="G48" s="1184"/>
      <c r="H48" s="1232"/>
      <c r="I48" s="1346" t="str">
        <f>INDEX(TEMPLATE_NUMBER_POINT_FHD,B48,MATCH(TEMPLATE_SPHERE,TEMPLATE_SPHERE_LIST_FOR_NOTE,0))</f>
        <v>2.11</v>
      </c>
      <c r="J48" s="134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4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5" t="str">
        <f>IF(I48=0,"",I48)</f>
        <v>2.11</v>
      </c>
      <c r="M48" s="118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8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98"/>
      <c r="P48" s="1298" t="s">
        <v>2223</v>
      </c>
      <c r="Q48" s="1298" t="s">
        <v>2241</v>
      </c>
      <c r="R48" s="1298" t="s">
        <v>2223</v>
      </c>
      <c r="S48" s="1298"/>
      <c r="T48" s="1184"/>
      <c r="U48" s="1184" t="s">
        <v>2242</v>
      </c>
      <c r="V48" s="1184" t="s">
        <v>2243</v>
      </c>
      <c r="W48" s="1184" t="s">
        <v>2243</v>
      </c>
      <c r="X48" s="1184"/>
      <c r="Y48" s="1341"/>
      <c r="Z48" s="1187"/>
      <c r="AA48" s="1190" t="s">
        <v>2237</v>
      </c>
      <c r="AB48" s="1190" t="s">
        <v>2237</v>
      </c>
      <c r="AC48" s="1190" t="s">
        <v>2237</v>
      </c>
      <c r="AD48" s="1187"/>
    </row>
    <row customHeight="1" ht="54">
      <c r="A49" s="1186"/>
      <c r="B49" s="1240">
        <v>32</v>
      </c>
      <c r="C49" s="1184" t="s">
        <v>2244</v>
      </c>
      <c r="D49" s="1308"/>
      <c r="E49" s="1184"/>
      <c r="F49" s="1184"/>
      <c r="G49" s="1184"/>
      <c r="H49" s="1232"/>
      <c r="I49" s="1346" t="str">
        <f>INDEX(TEMPLATE_NUMBER_POINT_FHD,B49,MATCH(TEMPLATE_SPHERE,TEMPLATE_SPHERE_LIST_FOR_NOTE,0))</f>
        <v>2.11.1</v>
      </c>
      <c r="J49" s="134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6">
        <f>INDEX(TEMPLATE_NOTE_POINT_FHD,B49,MATCH(TEMPLATE_SPHERE,TEMPLATE_SPHERE_LIST_FOR_NOTE,0))</f>
        <v>0</v>
      </c>
      <c r="L49" s="1185" t="str">
        <f>IF(I49=0,"",I49)</f>
        <v>2.11.1</v>
      </c>
      <c r="M49" s="118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5" t="str">
        <f>IF(K49=0,"",K49)</f>
        <v/>
      </c>
      <c r="O49" s="1298"/>
      <c r="P49" s="1298" t="s">
        <v>2227</v>
      </c>
      <c r="Q49" s="1298" t="s">
        <v>2245</v>
      </c>
      <c r="R49" s="1298" t="s">
        <v>2227</v>
      </c>
      <c r="S49" s="1298"/>
      <c r="T49" s="1184"/>
      <c r="U49" s="1184" t="s">
        <v>2240</v>
      </c>
      <c r="V49" s="1184" t="s">
        <v>2240</v>
      </c>
      <c r="W49" s="1184" t="s">
        <v>2240</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2.12</v>
      </c>
      <c r="J50" s="134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5" t="str">
        <f>IF(I50=0,"",I50)</f>
        <v>2.12</v>
      </c>
      <c r="M50" s="118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8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98" t="s">
        <v>2241</v>
      </c>
      <c r="P50" s="1298" t="s">
        <v>2234</v>
      </c>
      <c r="Q50" s="1298" t="s">
        <v>2246</v>
      </c>
      <c r="R50" s="1298" t="s">
        <v>2234</v>
      </c>
      <c r="S50" s="1298"/>
      <c r="T50" s="1184" t="s">
        <v>2247</v>
      </c>
      <c r="U50" s="1184" t="s">
        <v>2248</v>
      </c>
      <c r="V50" s="1184" t="s">
        <v>2249</v>
      </c>
      <c r="W50" s="1184" t="s">
        <v>2250</v>
      </c>
      <c r="X50" s="1184"/>
      <c r="Y50" s="1341"/>
      <c r="Z50" s="1187" t="s">
        <v>2251</v>
      </c>
      <c r="AA50" s="1190" t="s">
        <v>2252</v>
      </c>
      <c r="AB50" s="1190" t="s">
        <v>2252</v>
      </c>
      <c r="AC50" s="1190" t="s">
        <v>2252</v>
      </c>
      <c r="AD50" s="1187"/>
    </row>
    <row customHeight="1" ht="27">
      <c r="A51" s="1186"/>
      <c r="B51" s="1240">
        <v>34</v>
      </c>
      <c r="C51" s="1184" t="s">
        <v>2253</v>
      </c>
      <c r="D51" s="1308"/>
      <c r="E51" s="1184"/>
      <c r="F51" s="1184"/>
      <c r="G51" s="1184"/>
      <c r="H51" s="1232"/>
      <c r="I51" s="1346">
        <f>INDEX(TEMPLATE_NUMBER_POINT_FHD,B51,MATCH(TEMPLATE_SPHERE,TEMPLATE_SPHERE_LIST_FOR_NOTE,0))</f>
        <v>0</v>
      </c>
      <c r="J51" s="1346">
        <f>INDEX(TEMPLATE_DATA_POINT_FHD,B51,MATCH(TEMPLATE_SPHERE,TEMPLATE_SPHERE_LIST_FOR_NOTE,0))</f>
        <v>0</v>
      </c>
      <c r="K51" s="1346">
        <f>INDEX(TEMPLATE_NOTE_POINT_FHD,B51,MATCH(TEMPLATE_SPHERE,TEMPLATE_SPHERE_LIST_FOR_NOTE,0))</f>
        <v>0</v>
      </c>
      <c r="L51" s="1185" t="str">
        <f>IF(I51=0,"",I51)</f>
        <v/>
      </c>
      <c r="M51" s="1185" t="str">
        <f>IF(J51=0,"",J51)</f>
        <v/>
      </c>
      <c r="N51" s="1185" t="str">
        <f>IF(K51=0,"",K51)</f>
        <v/>
      </c>
      <c r="O51" s="1298" t="s">
        <v>90</v>
      </c>
      <c r="P51" s="1298"/>
      <c r="Q51" s="1298"/>
      <c r="R51" s="1298"/>
      <c r="S51" s="1298"/>
      <c r="T51" s="1184" t="s">
        <v>2254</v>
      </c>
      <c r="U51" s="1184"/>
      <c r="V51" s="1184"/>
      <c r="W51" s="1184"/>
      <c r="X51" s="1184"/>
      <c r="Y51" s="1341"/>
      <c r="Z51" s="1187"/>
      <c r="AA51" s="1190"/>
      <c r="AB51" s="1190"/>
      <c r="AC51" s="1190"/>
      <c r="AD51" s="1187"/>
    </row>
    <row customHeight="1" ht="36">
      <c r="A52" s="1186"/>
      <c r="B52" s="1240">
        <v>35</v>
      </c>
      <c r="C52" s="1184" t="s">
        <v>2147</v>
      </c>
      <c r="D52" s="1308" t="s">
        <v>2147</v>
      </c>
      <c r="E52" s="1184" t="s">
        <v>2147</v>
      </c>
      <c r="F52" s="1184" t="s">
        <v>2147</v>
      </c>
      <c r="G52" s="1184"/>
      <c r="H52" s="1232"/>
      <c r="I52" s="1346" t="str">
        <f>INDEX(TEMPLATE_NUMBER_POINT_FHD,B52,MATCH(TEMPLATE_SPHERE,TEMPLATE_SPHERE_LIST_FOR_NOTE,0))</f>
        <v>3</v>
      </c>
      <c r="J52" s="134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3</v>
      </c>
      <c r="M52" s="1185" t="str">
        <f>IF(J52=0,"",J52)</f>
        <v>Чистая прибыль, полученная от регулируемого вида деятельности в сфере холодного водоснабжения,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2255</v>
      </c>
      <c r="U52" s="1184" t="s">
        <v>2256</v>
      </c>
      <c r="V52" s="1184" t="s">
        <v>2257</v>
      </c>
      <c r="W52" s="1184" t="s">
        <v>2258</v>
      </c>
      <c r="X52" s="1184"/>
      <c r="Y52" s="1341"/>
      <c r="Z52" s="1187" t="s">
        <v>861</v>
      </c>
      <c r="AA52" s="1190" t="s">
        <v>861</v>
      </c>
      <c r="AB52" s="1190" t="s">
        <v>861</v>
      </c>
      <c r="AC52" s="1190" t="s">
        <v>861</v>
      </c>
      <c r="AD52" s="1187"/>
    </row>
    <row customHeight="1" ht="36">
      <c r="A53" s="1186"/>
      <c r="B53" s="1240">
        <v>36</v>
      </c>
      <c r="C53" s="1184">
        <v>1</v>
      </c>
      <c r="D53" s="1308"/>
      <c r="E53" s="1184"/>
      <c r="F53" s="1184"/>
      <c r="G53" s="1184"/>
      <c r="H53" s="1232"/>
      <c r="I53" s="1346" t="str">
        <f>INDEX(TEMPLATE_NUMBER_POINT_FHD,B53,MATCH(TEMPLATE_SPHERE,TEMPLATE_SPHERE_LIST_FOR_NOTE,0))</f>
        <v>3.1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3.1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865</v>
      </c>
      <c r="P53" s="1298" t="s">
        <v>438</v>
      </c>
      <c r="Q53" s="1298" t="s">
        <v>438</v>
      </c>
      <c r="R53" s="1298" t="s">
        <v>438</v>
      </c>
      <c r="S53" s="1298"/>
      <c r="T53" s="1184" t="s">
        <v>2259</v>
      </c>
      <c r="U53" s="1184" t="s">
        <v>2259</v>
      </c>
      <c r="V53" s="1184" t="s">
        <v>2259</v>
      </c>
      <c r="W53" s="1184" t="s">
        <v>2259</v>
      </c>
      <c r="X53" s="1184"/>
      <c r="Y53" s="1341"/>
      <c r="Z53" s="1187"/>
      <c r="AA53" s="1190"/>
      <c r="AB53" s="1187"/>
      <c r="AC53" s="1187"/>
      <c r="AD53" s="1187"/>
    </row>
    <row customHeight="1" ht="18">
      <c r="A54" s="1186"/>
      <c r="B54" s="1240">
        <v>37</v>
      </c>
      <c r="C54" s="1184" t="s">
        <v>2153</v>
      </c>
      <c r="D54" s="1308" t="s">
        <v>2153</v>
      </c>
      <c r="E54" s="1184" t="s">
        <v>2153</v>
      </c>
      <c r="F54" s="1184" t="s">
        <v>2153</v>
      </c>
      <c r="G54" s="1184"/>
      <c r="H54" s="1232"/>
      <c r="I54" s="1346" t="str">
        <f>INDEX(TEMPLATE_NUMBER_POINT_FHD,B54,MATCH(TEMPLATE_SPHERE,TEMPLATE_SPHERE_LIST_FOR_NOTE,0))</f>
        <v>4</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4</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116</v>
      </c>
      <c r="P54" s="1298" t="s">
        <v>91</v>
      </c>
      <c r="Q54" s="1298" t="s">
        <v>91</v>
      </c>
      <c r="R54" s="1298" t="s">
        <v>91</v>
      </c>
      <c r="S54" s="1298"/>
      <c r="T54" s="1184" t="s">
        <v>863</v>
      </c>
      <c r="U54" s="1184" t="s">
        <v>863</v>
      </c>
      <c r="V54" s="1184" t="s">
        <v>863</v>
      </c>
      <c r="W54" s="1184" t="s">
        <v>863</v>
      </c>
      <c r="X54" s="1184"/>
      <c r="Y54" s="1341"/>
      <c r="Z54" s="1187" t="s">
        <v>864</v>
      </c>
      <c r="AA54" s="1187" t="s">
        <v>864</v>
      </c>
      <c r="AB54" s="1187" t="s">
        <v>864</v>
      </c>
      <c r="AC54" s="1187" t="s">
        <v>864</v>
      </c>
      <c r="AD54" s="1187"/>
    </row>
    <row customHeight="1" ht="36">
      <c r="A55" s="1186"/>
      <c r="B55" s="1240">
        <v>38</v>
      </c>
      <c r="C55" s="1184">
        <v>1</v>
      </c>
      <c r="D55" s="1308"/>
      <c r="E55" s="1184"/>
      <c r="F55" s="1184"/>
      <c r="G55" s="1184"/>
      <c r="H55" s="1232"/>
      <c r="I55" s="1346" t="str">
        <f>INDEX(TEMPLATE_NUMBER_POINT_FHD,B55,MATCH(TEMPLATE_SPHERE,TEMPLATE_SPHERE_LIST_FOR_NOTE,0))</f>
        <v>4.1</v>
      </c>
      <c r="J55" s="1346" t="str">
        <f>INDEX(TEMPLATE_DATA_POINT_FHD,B55,MATCH(TEMPLATE_SPHERE,TEMPLATE_SPHERE_LIST_FOR_NOTE,0))</f>
        <v>Изменение стоимости основных фондов 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4.1</v>
      </c>
      <c r="M55" s="1185" t="str">
        <f>IF(J55=0,"",J55)</f>
        <v>Изменение стоимости основных фондов 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427</v>
      </c>
      <c r="P55" s="1298" t="s">
        <v>865</v>
      </c>
      <c r="Q55" s="1298" t="s">
        <v>865</v>
      </c>
      <c r="R55" s="1298" t="s">
        <v>865</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2260</v>
      </c>
      <c r="V55" s="1184" t="s">
        <v>2260</v>
      </c>
      <c r="W55" s="1184" t="s">
        <v>2260</v>
      </c>
      <c r="X55" s="1184"/>
      <c r="Y55" s="1341"/>
      <c r="Z55" s="1187" t="s">
        <v>2261</v>
      </c>
      <c r="AA55" s="1187" t="s">
        <v>2261</v>
      </c>
      <c r="AB55" s="1187" t="s">
        <v>2261</v>
      </c>
      <c r="AC55" s="1187" t="s">
        <v>2261</v>
      </c>
      <c r="AD55" s="1187"/>
    </row>
    <row customHeight="1" ht="27">
      <c r="A56" s="1186"/>
      <c r="B56" s="1240">
        <v>39</v>
      </c>
      <c r="C56" s="1184" t="s">
        <v>1133</v>
      </c>
      <c r="D56" s="1308"/>
      <c r="E56" s="1184"/>
      <c r="F56" s="1184"/>
      <c r="G56" s="1184"/>
      <c r="H56" s="1232"/>
      <c r="I56" s="1346" t="str">
        <f>INDEX(TEMPLATE_NUMBER_POINT_FHD,B56,MATCH(TEMPLATE_SPHERE,TEMPLATE_SPHERE_LIST_FOR_NOTE,0))</f>
        <v>4.1.1</v>
      </c>
      <c r="J56" s="1346" t="str">
        <f>INDEX(TEMPLATE_DATA_POINT_FHD,B56,MATCH(TEMPLATE_SPHERE,TEMPLATE_SPHERE_LIST_FOR_NOTE,0))</f>
        <v>Изменение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4.1.1</v>
      </c>
      <c r="M56" s="1185" t="str">
        <f>IF(J56=0,"",J56)</f>
        <v>Изменение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1250</v>
      </c>
      <c r="P56" s="1298" t="s">
        <v>868</v>
      </c>
      <c r="Q56" s="1298" t="s">
        <v>868</v>
      </c>
      <c r="R56" s="1298" t="s">
        <v>868</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2262</v>
      </c>
      <c r="V56" s="1184" t="s">
        <v>2262</v>
      </c>
      <c r="W56" s="1184" t="s">
        <v>2262</v>
      </c>
      <c r="X56" s="1184"/>
      <c r="Y56" s="1341"/>
      <c r="Z56" s="1187" t="s">
        <v>870</v>
      </c>
      <c r="AA56" s="1187" t="s">
        <v>870</v>
      </c>
      <c r="AB56" s="1187" t="s">
        <v>870</v>
      </c>
      <c r="AC56" s="1187" t="s">
        <v>870</v>
      </c>
      <c r="AD56" s="1187"/>
    </row>
    <row customHeight="1" ht="27">
      <c r="A57" s="1186"/>
      <c r="B57" s="1240">
        <v>40</v>
      </c>
      <c r="C57" s="1184" t="s">
        <v>1135</v>
      </c>
      <c r="D57" s="1308"/>
      <c r="E57" s="1184"/>
      <c r="F57" s="1184"/>
      <c r="G57" s="1184"/>
      <c r="H57" s="1232"/>
      <c r="I57" s="1346" t="str">
        <f>INDEX(TEMPLATE_NUMBER_POINT_FHD,B57,MATCH(TEMPLATE_SPHERE,TEMPLATE_SPHERE_LIST_FOR_NOTE,0))</f>
        <v>4.1.2</v>
      </c>
      <c r="J57" s="1346" t="str">
        <f>INDEX(TEMPLATE_DATA_POINT_FHD,B57,MATCH(TEMPLATE_SPHERE,TEMPLATE_SPHERE_LIST_FOR_NOTE,0))</f>
        <v>Изменение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4.1.2</v>
      </c>
      <c r="M57" s="1185" t="str">
        <f>IF(J57=0,"",J57)</f>
        <v>Изменение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2263</v>
      </c>
      <c r="P57" s="1298" t="s">
        <v>871</v>
      </c>
      <c r="Q57" s="1298" t="s">
        <v>871</v>
      </c>
      <c r="R57" s="1298" t="s">
        <v>871</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2264</v>
      </c>
      <c r="V57" s="1184" t="s">
        <v>2264</v>
      </c>
      <c r="W57" s="1184" t="s">
        <v>2264</v>
      </c>
      <c r="X57" s="1184"/>
      <c r="Y57" s="1341"/>
      <c r="Z57" s="1187" t="s">
        <v>873</v>
      </c>
      <c r="AA57" s="1187" t="s">
        <v>873</v>
      </c>
      <c r="AB57" s="1187" t="s">
        <v>873</v>
      </c>
      <c r="AC57" s="1187" t="s">
        <v>873</v>
      </c>
      <c r="AD57" s="1187"/>
    </row>
    <row customHeight="1" ht="18">
      <c r="A58" s="1186"/>
      <c r="B58" s="1240">
        <v>41</v>
      </c>
      <c r="C58" s="1184">
        <v>2</v>
      </c>
      <c r="D58" s="1308"/>
      <c r="E58" s="1184"/>
      <c r="F58" s="1184"/>
      <c r="G58" s="1184"/>
      <c r="H58" s="1232"/>
      <c r="I58" s="1346" t="str">
        <f>INDEX(TEMPLATE_NUMBER_POINT_FHD,B58,MATCH(TEMPLATE_SPHERE,TEMPLATE_SPHERE_LIST_FOR_NOTE,0))</f>
        <v>4.2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4.2</v>
      </c>
      <c r="M58" s="1185" t="str">
        <f>IF(J58=0,"",J58)</f>
        <v>Изменение стоимости основных фондов за счет их переоценки</v>
      </c>
      <c r="N58" s="1185" t="str">
        <f>IF(K58=0,"",K58)</f>
        <v/>
      </c>
      <c r="O58" s="1298" t="s">
        <v>993</v>
      </c>
      <c r="P58" s="1298" t="s">
        <v>907</v>
      </c>
      <c r="Q58" s="1298" t="s">
        <v>907</v>
      </c>
      <c r="R58" s="1298" t="s">
        <v>907</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2265</v>
      </c>
      <c r="V58" s="1184" t="s">
        <v>2265</v>
      </c>
      <c r="W58" s="1184" t="s">
        <v>2265</v>
      </c>
      <c r="X58" s="1184"/>
      <c r="Y58" s="1341"/>
      <c r="Z58" s="1187"/>
      <c r="AA58" s="1190"/>
      <c r="AB58" s="1187"/>
      <c r="AC58" s="1187"/>
      <c r="AD58" s="1187"/>
    </row>
    <row customHeight="1" ht="36">
      <c r="A59" s="1186"/>
      <c r="B59" s="1240">
        <v>42</v>
      </c>
      <c r="C59" s="1184">
        <v>3</v>
      </c>
      <c r="D59" s="1308" t="s">
        <v>2253</v>
      </c>
      <c r="E59" s="1184" t="s">
        <v>2253</v>
      </c>
      <c r="F59" s="1184" t="s">
        <v>2253</v>
      </c>
      <c r="G59" s="1184"/>
      <c r="H59" s="1232"/>
      <c r="I59" s="1346" t="str">
        <f>INDEX(TEMPLATE_NUMBER_POINT_FHD,B59,MATCH(TEMPLATE_SPHERE,TEMPLATE_SPHERE_LIST_FOR_NOTE,0))</f>
        <v>5</v>
      </c>
      <c r="J59" s="134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46">
        <f>INDEX(TEMPLATE_NOTE_POINT_FHD,B59,MATCH(TEMPLATE_SPHERE,TEMPLATE_SPHERE_LIST_FOR_NOTE,0))</f>
        <v>0</v>
      </c>
      <c r="L59" s="1185" t="str">
        <f>IF(I59=0,"",I59)</f>
        <v>5</v>
      </c>
      <c r="M59" s="1185" t="str">
        <f>IF(J59=0,"",J59)</f>
        <v>Валовая прибыль (убытки) от продажи товаров и услуг по регулируемым видам деятельности в сфере холодного водоснабжения</v>
      </c>
      <c r="N59" s="1185" t="str">
        <f>IF(K59=0,"",K59)</f>
        <v/>
      </c>
      <c r="O59" s="1298"/>
      <c r="P59" s="1298" t="s">
        <v>116</v>
      </c>
      <c r="Q59" s="1298" t="s">
        <v>116</v>
      </c>
      <c r="R59" s="1298" t="s">
        <v>116</v>
      </c>
      <c r="S59" s="1298"/>
      <c r="T59" s="1184"/>
      <c r="U59" s="1184" t="s">
        <v>2266</v>
      </c>
      <c r="V59" s="1184" t="s">
        <v>2267</v>
      </c>
      <c r="W59" s="1184" t="s">
        <v>2268</v>
      </c>
      <c r="X59" s="1184"/>
      <c r="Y59" s="1341"/>
      <c r="Z59" s="1187"/>
      <c r="AA59" s="1190"/>
      <c r="AB59" s="1187"/>
      <c r="AC59" s="1187"/>
      <c r="AD59" s="1187"/>
    </row>
    <row customHeight="1" ht="81">
      <c r="A60" s="1186"/>
      <c r="B60" s="1240">
        <v>43</v>
      </c>
      <c r="C60" s="1184" t="s">
        <v>2269</v>
      </c>
      <c r="D60" s="1308" t="s">
        <v>2269</v>
      </c>
      <c r="E60" s="1184" t="s">
        <v>2269</v>
      </c>
      <c r="F60" s="1184" t="s">
        <v>2269</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98" t="s">
        <v>92</v>
      </c>
      <c r="P60" s="1298" t="s">
        <v>92</v>
      </c>
      <c r="Q60" s="1298" t="s">
        <v>92</v>
      </c>
      <c r="R60" s="1298" t="s">
        <v>92</v>
      </c>
      <c r="S60" s="1298"/>
      <c r="T60" s="1184" t="s">
        <v>741</v>
      </c>
      <c r="U60" s="1184" t="s">
        <v>741</v>
      </c>
      <c r="V60" s="1184" t="s">
        <v>741</v>
      </c>
      <c r="W60" s="1184" t="s">
        <v>741</v>
      </c>
      <c r="X60" s="1184"/>
      <c r="Y60" s="1341"/>
      <c r="Z60" s="1187" t="s">
        <v>2270</v>
      </c>
      <c r="AA60" s="1190" t="s">
        <v>2271</v>
      </c>
      <c r="AB60" s="1187" t="s">
        <v>2272</v>
      </c>
      <c r="AC60" s="1187" t="s">
        <v>2271</v>
      </c>
      <c r="AD60" s="1187"/>
    </row>
    <row customHeight="1" ht="9">
      <c r="A61" s="1186"/>
      <c r="B61" s="1240">
        <v>44</v>
      </c>
      <c r="C61" s="1184"/>
      <c r="D61" s="1308" t="s">
        <v>2273</v>
      </c>
      <c r="E61" s="1184"/>
      <c r="F61" s="1184"/>
      <c r="G61" s="1184"/>
      <c r="H61" s="1232"/>
      <c r="I61" s="1346" t="str">
        <f>INDEX(TEMPLATE_NUMBER_POINT_FHD,B61,MATCH(TEMPLATE_SPHERE,TEMPLATE_SPHERE_LIST_FOR_NOTE,0))</f>
        <v>7</v>
      </c>
      <c r="J61" s="1346" t="str">
        <f>INDEX(TEMPLATE_DATA_POINT_FHD,B61,MATCH(TEMPLATE_SPHERE,TEMPLATE_SPHERE_LIST_FOR_NOTE,0))</f>
        <v>Объём поднятой воды</v>
      </c>
      <c r="K61" s="1346">
        <f>INDEX(TEMPLATE_NOTE_POINT_FHD,B61,MATCH(TEMPLATE_SPHERE,TEMPLATE_SPHERE_LIST_FOR_NOTE,0))</f>
        <v>0</v>
      </c>
      <c r="L61" s="1185" t="str">
        <f>IF(I61=0,"",I61)</f>
        <v>7</v>
      </c>
      <c r="M61" s="1185" t="str">
        <f>IF(J61=0,"",J61)</f>
        <v>Объём поднятой воды</v>
      </c>
      <c r="N61" s="1185" t="str">
        <f>IF(K61=0,"",K61)</f>
        <v/>
      </c>
      <c r="O61" s="1298"/>
      <c r="P61" s="1298" t="s">
        <v>93</v>
      </c>
      <c r="Q61" s="1298"/>
      <c r="R61" s="1298"/>
      <c r="S61" s="1298"/>
      <c r="T61" s="1184"/>
      <c r="U61" s="1184" t="s">
        <v>2274</v>
      </c>
      <c r="V61" s="1184"/>
      <c r="W61" s="1184"/>
      <c r="X61" s="1184"/>
      <c r="Y61" s="1341"/>
      <c r="Z61" s="1187"/>
      <c r="AA61" s="1190"/>
      <c r="AB61" s="1187"/>
      <c r="AC61" s="1187"/>
      <c r="AD61" s="1187"/>
    </row>
    <row customHeight="1" ht="9">
      <c r="A62" s="1186"/>
      <c r="B62" s="1240">
        <v>45</v>
      </c>
      <c r="C62" s="1184"/>
      <c r="D62" s="1308" t="s">
        <v>2275</v>
      </c>
      <c r="E62" s="1184"/>
      <c r="F62" s="1184"/>
      <c r="G62" s="1184"/>
      <c r="H62" s="1232"/>
      <c r="I62" s="1346" t="str">
        <f>INDEX(TEMPLATE_NUMBER_POINT_FHD,B62,MATCH(TEMPLATE_SPHERE,TEMPLATE_SPHERE_LIST_FOR_NOTE,0))</f>
        <v>8</v>
      </c>
      <c r="J62" s="1346" t="str">
        <f>INDEX(TEMPLATE_DATA_POINT_FHD,B62,MATCH(TEMPLATE_SPHERE,TEMPLATE_SPHERE_LIST_FOR_NOTE,0))</f>
        <v>Объём покупной воды</v>
      </c>
      <c r="K62" s="1346">
        <f>INDEX(TEMPLATE_NOTE_POINT_FHD,B62,MATCH(TEMPLATE_SPHERE,TEMPLATE_SPHERE_LIST_FOR_NOTE,0))</f>
        <v>0</v>
      </c>
      <c r="L62" s="1185" t="str">
        <f>IF(I62=0,"",I62)</f>
        <v>8</v>
      </c>
      <c r="M62" s="1185" t="str">
        <f>IF(J62=0,"",J62)</f>
        <v>Объём покупной воды</v>
      </c>
      <c r="N62" s="1185" t="str">
        <f>IF(K62=0,"",K62)</f>
        <v/>
      </c>
      <c r="O62" s="1298"/>
      <c r="P62" s="1298" t="s">
        <v>129</v>
      </c>
      <c r="Q62" s="1298"/>
      <c r="R62" s="1298"/>
      <c r="S62" s="1298"/>
      <c r="T62" s="1184"/>
      <c r="U62" s="1184" t="s">
        <v>2276</v>
      </c>
      <c r="V62" s="1184"/>
      <c r="W62" s="1184"/>
      <c r="X62" s="1184"/>
      <c r="Y62" s="1341"/>
      <c r="Z62" s="1187"/>
      <c r="AA62" s="1190"/>
      <c r="AB62" s="1187"/>
      <c r="AC62" s="1187"/>
      <c r="AD62" s="1187"/>
    </row>
    <row customHeight="1" ht="18">
      <c r="A63" s="1186"/>
      <c r="B63" s="1240">
        <v>46</v>
      </c>
      <c r="C63" s="1184"/>
      <c r="D63" s="1308" t="s">
        <v>2277</v>
      </c>
      <c r="E63" s="1184"/>
      <c r="F63" s="1184"/>
      <c r="G63" s="1184"/>
      <c r="H63" s="1232"/>
      <c r="I63" s="1346" t="str">
        <f>INDEX(TEMPLATE_NUMBER_POINT_FHD,B63,MATCH(TEMPLATE_SPHERE,TEMPLATE_SPHERE_LIST_FOR_NOTE,0))</f>
        <v>9</v>
      </c>
      <c r="J63" s="1346" t="str">
        <f>INDEX(TEMPLATE_DATA_POINT_FHD,B63,MATCH(TEMPLATE_SPHERE,TEMPLATE_SPHERE_LIST_FOR_NOTE,0))</f>
        <v>Объём воды, пропущенной через очистные сооружения</v>
      </c>
      <c r="K63" s="1346">
        <f>INDEX(TEMPLATE_NOTE_POINT_FHD,B63,MATCH(TEMPLATE_SPHERE,TEMPLATE_SPHERE_LIST_FOR_NOTE,0))</f>
        <v>0</v>
      </c>
      <c r="L63" s="1185" t="str">
        <f>IF(I63=0,"",I63)</f>
        <v>9</v>
      </c>
      <c r="M63" s="1185" t="str">
        <f>IF(J63=0,"",J63)</f>
        <v>Объём воды, пропущенной через очистные сооружения</v>
      </c>
      <c r="N63" s="1185" t="str">
        <f>IF(K63=0,"",K63)</f>
        <v/>
      </c>
      <c r="O63" s="1298"/>
      <c r="P63" s="1298" t="s">
        <v>134</v>
      </c>
      <c r="Q63" s="1298"/>
      <c r="R63" s="1298"/>
      <c r="S63" s="1298"/>
      <c r="T63" s="1184"/>
      <c r="U63" s="1184" t="s">
        <v>2278</v>
      </c>
      <c r="V63" s="1184"/>
      <c r="W63" s="1184"/>
      <c r="X63" s="1184"/>
      <c r="Y63" s="1341"/>
      <c r="Z63" s="1187"/>
      <c r="AA63" s="1190"/>
      <c r="AB63" s="1187"/>
      <c r="AC63" s="1187"/>
      <c r="AD63" s="1187"/>
    </row>
    <row customHeight="1" ht="18">
      <c r="A64" s="1186"/>
      <c r="B64" s="1240">
        <v>47</v>
      </c>
      <c r="C64" s="1184"/>
      <c r="D64" s="1308" t="s">
        <v>2279</v>
      </c>
      <c r="E64" s="1184"/>
      <c r="F64" s="1184"/>
      <c r="G64" s="1184"/>
      <c r="H64" s="1232"/>
      <c r="I64" s="1346" t="str">
        <f>INDEX(TEMPLATE_NUMBER_POINT_FHD,B64,MATCH(TEMPLATE_SPHERE,TEMPLATE_SPHERE_LIST_FOR_NOTE,0))</f>
        <v>10</v>
      </c>
      <c r="J64" s="1346" t="str">
        <f>INDEX(TEMPLATE_DATA_POINT_FHD,B64,MATCH(TEMPLATE_SPHERE,TEMPLATE_SPHERE_LIST_FOR_NOTE,0))</f>
        <v>Объём отпущенной потребителям воды, в том числе:</v>
      </c>
      <c r="K64" s="1346" t="str">
        <f>INDEX(TEMPLATE_NOTE_POINT_FHD,B64,MATCH(TEMPLATE_SPHERE,TEMPLATE_SPHERE_LIST_FOR_NOTE,0))</f>
        <v>Указывается общий объем отпущенной потребителям воды.</v>
      </c>
      <c r="L64" s="1185" t="str">
        <f>IF(I64=0,"",I64)</f>
        <v>10</v>
      </c>
      <c r="M64" s="1185" t="str">
        <f>IF(J64=0,"",J64)</f>
        <v>Объём отпущенной потребителям воды, в том числе:</v>
      </c>
      <c r="N64" s="1185" t="str">
        <f>IF(K64=0,"",K64)</f>
        <v>Указывается общий объем отпущенной потребителям воды.</v>
      </c>
      <c r="O64" s="1298"/>
      <c r="P64" s="1298" t="s">
        <v>138</v>
      </c>
      <c r="Q64" s="1298"/>
      <c r="R64" s="1298"/>
      <c r="S64" s="1298"/>
      <c r="T64" s="1184"/>
      <c r="U64" s="1184" t="s">
        <v>2280</v>
      </c>
      <c r="V64" s="1184"/>
      <c r="W64" s="1184"/>
      <c r="X64" s="1184"/>
      <c r="Y64" s="1341"/>
      <c r="Z64" s="1187"/>
      <c r="AA64" s="1190" t="s">
        <v>2281</v>
      </c>
      <c r="AB64" s="1187"/>
      <c r="AC64" s="1187"/>
      <c r="AD64" s="1187"/>
    </row>
    <row customHeight="1" ht="18">
      <c r="A65" s="1186"/>
      <c r="B65" s="1240">
        <v>48</v>
      </c>
      <c r="C65" s="1184"/>
      <c r="D65" s="1308"/>
      <c r="E65" s="1184"/>
      <c r="F65" s="1184"/>
      <c r="G65" s="1184"/>
      <c r="H65" s="1232"/>
      <c r="I65" s="1346" t="str">
        <f>INDEX(TEMPLATE_NUMBER_POINT_FHD,B65,MATCH(TEMPLATE_SPHERE,TEMPLATE_SPHERE_LIST_FOR_NOTE,0))</f>
        <v>10.1</v>
      </c>
      <c r="J65" s="1346" t="str">
        <f>INDEX(TEMPLATE_DATA_POINT_FHD,B65,MATCH(TEMPLATE_SPHERE,TEMPLATE_SPHERE_LIST_FOR_NOTE,0))</f>
        <v>Объём отпущенной потребителям воды, определенный по приборам учета</v>
      </c>
      <c r="K65" s="1346">
        <f>INDEX(TEMPLATE_NOTE_POINT_FHD,B65,MATCH(TEMPLATE_SPHERE,TEMPLATE_SPHERE_LIST_FOR_NOTE,0))</f>
        <v>0</v>
      </c>
      <c r="L65" s="1185" t="str">
        <f>IF(I65=0,"",I65)</f>
        <v>10.1</v>
      </c>
      <c r="M65" s="1185" t="str">
        <f>IF(J65=0,"",J65)</f>
        <v>Объём отпущенной потребителям воды, определенный по приборам учета</v>
      </c>
      <c r="N65" s="1185" t="str">
        <f>IF(K65=0,"",K65)</f>
        <v/>
      </c>
      <c r="O65" s="1298"/>
      <c r="P65" s="1298" t="s">
        <v>2194</v>
      </c>
      <c r="Q65" s="1298"/>
      <c r="R65" s="1298"/>
      <c r="S65" s="1298"/>
      <c r="T65" s="1184"/>
      <c r="U65" s="1184" t="s">
        <v>2282</v>
      </c>
      <c r="V65" s="1184"/>
      <c r="W65" s="1184"/>
      <c r="X65" s="1184"/>
      <c r="Y65" s="1341"/>
      <c r="Z65" s="1187"/>
      <c r="AA65" s="1190"/>
      <c r="AB65" s="1187"/>
      <c r="AC65" s="1187"/>
      <c r="AD65" s="1187"/>
    </row>
    <row customHeight="1" ht="18">
      <c r="A66" s="1186"/>
      <c r="B66" s="1240">
        <v>49</v>
      </c>
      <c r="C66" s="1184"/>
      <c r="D66" s="1308"/>
      <c r="E66" s="1184"/>
      <c r="F66" s="1184"/>
      <c r="G66" s="1184"/>
      <c r="H66" s="1232"/>
      <c r="I66" s="1346" t="str">
        <f>INDEX(TEMPLATE_NUMBER_POINT_FHD,B66,MATCH(TEMPLATE_SPHERE,TEMPLATE_SPHERE_LIST_FOR_NOTE,0))</f>
        <v>10.2</v>
      </c>
      <c r="J66" s="1346" t="str">
        <f>INDEX(TEMPLATE_DATA_POINT_FHD,B66,MATCH(TEMPLATE_SPHERE,TEMPLATE_SPHERE_LIST_FOR_NOTE,0))</f>
        <v>Объём отпущенной потребителям воды, определенный расчетным способом</v>
      </c>
      <c r="K66" s="1346">
        <f>INDEX(TEMPLATE_NOTE_POINT_FHD,B66,MATCH(TEMPLATE_SPHERE,TEMPLATE_SPHERE_LIST_FOR_NOTE,0))</f>
        <v>0</v>
      </c>
      <c r="L66" s="1185" t="str">
        <f>IF(I66=0,"",I66)</f>
        <v>10.2</v>
      </c>
      <c r="M66" s="1185" t="str">
        <f>IF(J66=0,"",J66)</f>
        <v>Объём отпущенной потребителям воды, определенный расчетным способом</v>
      </c>
      <c r="N66" s="1185" t="str">
        <f>IF(K66=0,"",K66)</f>
        <v/>
      </c>
      <c r="O66" s="1298"/>
      <c r="P66" s="1298" t="s">
        <v>2198</v>
      </c>
      <c r="Q66" s="1298"/>
      <c r="R66" s="1298"/>
      <c r="S66" s="1298"/>
      <c r="T66" s="1184"/>
      <c r="U66" s="1184" t="s">
        <v>2283</v>
      </c>
      <c r="V66" s="1184"/>
      <c r="W66" s="1184"/>
      <c r="X66" s="1184"/>
      <c r="Y66" s="1341"/>
      <c r="Z66" s="1187"/>
      <c r="AA66" s="1190"/>
      <c r="AB66" s="1187"/>
      <c r="AC66" s="1187"/>
      <c r="AD66" s="1187"/>
    </row>
    <row customHeight="1" ht="27">
      <c r="A67" s="1186"/>
      <c r="B67" s="1240">
        <v>50</v>
      </c>
      <c r="C67" s="1184"/>
      <c r="D67" s="1308"/>
      <c r="E67" s="1184"/>
      <c r="F67" s="1184"/>
      <c r="G67" s="1184"/>
      <c r="H67" s="1232"/>
      <c r="I67" s="1346" t="str">
        <f>INDEX(TEMPLATE_NUMBER_POINT_FHD,B67,MATCH(TEMPLATE_SPHERE,TEMPLATE_SPHERE_LIST_FOR_NOTE,0))</f>
        <v>10.2.1</v>
      </c>
      <c r="J67" s="134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46">
        <f>INDEX(TEMPLATE_NOTE_POINT_FHD,B67,MATCH(TEMPLATE_SPHERE,TEMPLATE_SPHERE_LIST_FOR_NOTE,0))</f>
        <v>0</v>
      </c>
      <c r="L67" s="1185" t="str">
        <f>IF(I67=0,"",I67)</f>
        <v>10.2.1</v>
      </c>
      <c r="M67" s="1185" t="str">
        <f>IF(J67=0,"",J67)</f>
        <v>Объём отпущенной потребителям воды, определенный по нормативам потребления коммунальных услуг</v>
      </c>
      <c r="N67" s="1185" t="str">
        <f>IF(K67=0,"",K67)</f>
        <v/>
      </c>
      <c r="O67" s="1298"/>
      <c r="P67" s="1298" t="s">
        <v>2284</v>
      </c>
      <c r="Q67" s="1298"/>
      <c r="R67" s="1298"/>
      <c r="S67" s="1298"/>
      <c r="T67" s="1184"/>
      <c r="U67" s="1184" t="s">
        <v>2285</v>
      </c>
      <c r="V67" s="1184"/>
      <c r="W67" s="1184"/>
      <c r="X67" s="1184"/>
      <c r="Y67" s="1341"/>
      <c r="Z67" s="1187"/>
      <c r="AA67" s="1190"/>
      <c r="AB67" s="1187"/>
      <c r="AC67" s="1187"/>
      <c r="AD67" s="1187"/>
    </row>
    <row customHeight="1" ht="27">
      <c r="A68" s="1186"/>
      <c r="B68" s="1240">
        <v>51</v>
      </c>
      <c r="C68" s="1184"/>
      <c r="D68" s="1308"/>
      <c r="E68" s="1184"/>
      <c r="F68" s="1184"/>
      <c r="G68" s="1184"/>
      <c r="H68" s="1232"/>
      <c r="I68" s="1346" t="str">
        <f>INDEX(TEMPLATE_NUMBER_POINT_FHD,B68,MATCH(TEMPLATE_SPHERE,TEMPLATE_SPHERE_LIST_FOR_NOTE,0))</f>
        <v>10.2.2</v>
      </c>
      <c r="J68" s="134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46">
        <f>INDEX(TEMPLATE_NOTE_POINT_FHD,B68,MATCH(TEMPLATE_SPHERE,TEMPLATE_SPHERE_LIST_FOR_NOTE,0))</f>
        <v>0</v>
      </c>
      <c r="L68" s="1185" t="str">
        <f>IF(I68=0,"",I68)</f>
        <v>10.2.2</v>
      </c>
      <c r="M68" s="1185" t="str">
        <f>IF(J68=0,"",J68)</f>
        <v>Объём отпущенной потребителям воды, определенный по нормативам потребления коммунальных ресурсов </v>
      </c>
      <c r="N68" s="1185" t="str">
        <f>IF(K68=0,"",K68)</f>
        <v/>
      </c>
      <c r="O68" s="1298"/>
      <c r="P68" s="1298" t="s">
        <v>2286</v>
      </c>
      <c r="Q68" s="1298"/>
      <c r="R68" s="1298"/>
      <c r="S68" s="1298"/>
      <c r="T68" s="1184"/>
      <c r="U68" s="1184" t="s">
        <v>2287</v>
      </c>
      <c r="V68" s="1184"/>
      <c r="W68" s="1184"/>
      <c r="X68" s="1184"/>
      <c r="Y68" s="1341"/>
      <c r="Z68" s="1187"/>
      <c r="AA68" s="1190"/>
      <c r="AB68" s="1187"/>
      <c r="AC68" s="1187"/>
      <c r="AD68" s="1187"/>
    </row>
    <row customHeight="1" ht="9">
      <c r="A69" s="1186"/>
      <c r="B69" s="1240">
        <v>52</v>
      </c>
      <c r="C69" s="1184"/>
      <c r="D69" s="1308" t="s">
        <v>2288</v>
      </c>
      <c r="E69" s="1184"/>
      <c r="F69" s="1184"/>
      <c r="G69" s="1184"/>
      <c r="H69" s="1232"/>
      <c r="I69" s="1346" t="str">
        <f>INDEX(TEMPLATE_NUMBER_POINT_FHD,B69,MATCH(TEMPLATE_SPHERE,TEMPLATE_SPHERE_LIST_FOR_NOTE,0))</f>
        <v>11</v>
      </c>
      <c r="J69" s="1346" t="str">
        <f>INDEX(TEMPLATE_DATA_POINT_FHD,B69,MATCH(TEMPLATE_SPHERE,TEMPLATE_SPHERE_LIST_FOR_NOTE,0))</f>
        <v>Потери воды в сетях</v>
      </c>
      <c r="K69" s="1346">
        <f>INDEX(TEMPLATE_NOTE_POINT_FHD,B69,MATCH(TEMPLATE_SPHERE,TEMPLATE_SPHERE_LIST_FOR_NOTE,0))</f>
        <v>0</v>
      </c>
      <c r="L69" s="1185" t="str">
        <f>IF(I69=0,"",I69)</f>
        <v>11</v>
      </c>
      <c r="M69" s="1185" t="str">
        <f>IF(J69=0,"",J69)</f>
        <v>Потери воды в сетях</v>
      </c>
      <c r="N69" s="1185" t="str">
        <f>IF(K69=0,"",K69)</f>
        <v/>
      </c>
      <c r="O69" s="1298"/>
      <c r="P69" s="1298" t="s">
        <v>143</v>
      </c>
      <c r="Q69" s="1298"/>
      <c r="R69" s="1298"/>
      <c r="S69" s="1298"/>
      <c r="T69" s="1184"/>
      <c r="U69" s="1184" t="s">
        <v>2289</v>
      </c>
      <c r="V69" s="1184"/>
      <c r="W69" s="1184"/>
      <c r="X69" s="1184"/>
      <c r="Y69" s="1341"/>
      <c r="Z69" s="1187"/>
      <c r="AA69" s="1190"/>
      <c r="AB69" s="1187"/>
      <c r="AC69" s="1187"/>
      <c r="AD69" s="1187"/>
    </row>
    <row customHeight="1" ht="27">
      <c r="A70" s="1186"/>
      <c r="B70" s="1240">
        <v>53</v>
      </c>
      <c r="C70" s="1184"/>
      <c r="D70" s="1308"/>
      <c r="E70" s="1184" t="s">
        <v>2273</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2290</v>
      </c>
      <c r="W70" s="1184"/>
      <c r="X70" s="1184"/>
      <c r="Y70" s="1341"/>
      <c r="Z70" s="1187"/>
      <c r="AA70" s="1190"/>
      <c r="AB70" s="1187"/>
      <c r="AC70" s="1187"/>
      <c r="AD70" s="1187"/>
    </row>
    <row customHeight="1" ht="36">
      <c r="A71" s="1186"/>
      <c r="B71" s="1240">
        <v>54</v>
      </c>
      <c r="C71" s="1184"/>
      <c r="D71" s="1308"/>
      <c r="E71" s="1184" t="s">
        <v>2275</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129</v>
      </c>
      <c r="R71" s="1298"/>
      <c r="S71" s="1298"/>
      <c r="T71" s="1184"/>
      <c r="U71" s="1184"/>
      <c r="V71" s="1184" t="s">
        <v>2291</v>
      </c>
      <c r="W71" s="1184"/>
      <c r="X71" s="1184"/>
      <c r="Y71" s="1341"/>
      <c r="Z71" s="1187"/>
      <c r="AA71" s="1190"/>
      <c r="AB71" s="1187"/>
      <c r="AC71" s="1187"/>
      <c r="AD71" s="1187"/>
    </row>
    <row customHeight="1" ht="27">
      <c r="A72" s="1186"/>
      <c r="B72" s="1240">
        <v>55</v>
      </c>
      <c r="C72" s="1184"/>
      <c r="D72" s="1308"/>
      <c r="E72" s="1184" t="s">
        <v>2277</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134</v>
      </c>
      <c r="R72" s="1298"/>
      <c r="S72" s="1298"/>
      <c r="T72" s="1184"/>
      <c r="U72" s="1184"/>
      <c r="V72" s="1184" t="s">
        <v>2292</v>
      </c>
      <c r="W72" s="1184"/>
      <c r="X72" s="1184"/>
      <c r="Y72" s="1341"/>
      <c r="Z72" s="1187"/>
      <c r="AA72" s="1190"/>
      <c r="AB72" s="1187"/>
      <c r="AC72" s="1187"/>
      <c r="AD72" s="1187"/>
    </row>
    <row customHeight="1" ht="36">
      <c r="A73" s="1186"/>
      <c r="B73" s="1240">
        <v>56</v>
      </c>
      <c r="C73" s="1184"/>
      <c r="D73" s="1308"/>
      <c r="E73" s="1184" t="s">
        <v>2279</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138</v>
      </c>
      <c r="R73" s="1298"/>
      <c r="S73" s="1298"/>
      <c r="T73" s="1184"/>
      <c r="U73" s="1184"/>
      <c r="V73" s="1184" t="s">
        <v>2293</v>
      </c>
      <c r="W73" s="1184"/>
      <c r="X73" s="1184"/>
      <c r="Y73" s="1341"/>
      <c r="Z73" s="1187"/>
      <c r="AA73" s="1190"/>
      <c r="AB73" s="1187"/>
      <c r="AC73" s="1187"/>
      <c r="AD73" s="1187"/>
    </row>
    <row customHeight="1" ht="18">
      <c r="A74" s="1186"/>
      <c r="B74" s="1240">
        <v>57</v>
      </c>
      <c r="C74" s="1184"/>
      <c r="D74" s="1308"/>
      <c r="E74" s="1184" t="s">
        <v>2288</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143</v>
      </c>
      <c r="R74" s="1298"/>
      <c r="S74" s="1298"/>
      <c r="T74" s="1184"/>
      <c r="U74" s="1184"/>
      <c r="V74" s="1184" t="s">
        <v>2294</v>
      </c>
      <c r="W74" s="1184"/>
      <c r="X74" s="1184"/>
      <c r="Y74" s="1341"/>
      <c r="Z74" s="1187"/>
      <c r="AA74" s="1190"/>
      <c r="AB74" s="1187"/>
      <c r="AC74" s="1187"/>
      <c r="AD74" s="1187"/>
    </row>
    <row customHeight="1" ht="18">
      <c r="A75" s="1186"/>
      <c r="B75" s="1240">
        <v>58</v>
      </c>
      <c r="C75" s="1184"/>
      <c r="D75" s="1308"/>
      <c r="E75" s="1184"/>
      <c r="F75" s="1184" t="s">
        <v>2273</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2295</v>
      </c>
      <c r="X75" s="1184"/>
      <c r="Y75" s="1341"/>
      <c r="Z75" s="1187"/>
      <c r="AA75" s="1190"/>
      <c r="AB75" s="1187"/>
      <c r="AC75" s="1187"/>
      <c r="AD75" s="1187"/>
    </row>
    <row customHeight="1" ht="36">
      <c r="A76" s="1186"/>
      <c r="B76" s="1240">
        <v>59</v>
      </c>
      <c r="C76" s="1184"/>
      <c r="D76" s="1308"/>
      <c r="E76" s="1184"/>
      <c r="F76" s="1184" t="s">
        <v>2275</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129</v>
      </c>
      <c r="S76" s="1298"/>
      <c r="T76" s="1184"/>
      <c r="U76" s="1184"/>
      <c r="V76" s="1184"/>
      <c r="W76" s="1184" t="s">
        <v>2296</v>
      </c>
      <c r="X76" s="1184"/>
      <c r="Y76" s="1341"/>
      <c r="Z76" s="1187"/>
      <c r="AA76" s="1190"/>
      <c r="AB76" s="1187"/>
      <c r="AC76" s="1187"/>
      <c r="AD76" s="1187"/>
    </row>
    <row customHeight="1" ht="18">
      <c r="A77" s="1186"/>
      <c r="B77" s="1240">
        <v>60</v>
      </c>
      <c r="C77" s="1184"/>
      <c r="D77" s="1308"/>
      <c r="E77" s="1184"/>
      <c r="F77" s="1184" t="s">
        <v>2277</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134</v>
      </c>
      <c r="S77" s="1298"/>
      <c r="T77" s="1184"/>
      <c r="U77" s="1184"/>
      <c r="V77" s="1184"/>
      <c r="W77" s="1184" t="s">
        <v>2297</v>
      </c>
      <c r="X77" s="1184"/>
      <c r="Y77" s="1341"/>
      <c r="Z77" s="1187"/>
      <c r="AA77" s="1190"/>
      <c r="AB77" s="1187"/>
      <c r="AC77" s="1187"/>
      <c r="AD77" s="1187"/>
    </row>
    <row customHeight="1" ht="72">
      <c r="A78" s="1186"/>
      <c r="B78" s="1240">
        <v>61</v>
      </c>
      <c r="C78" s="1184" t="s">
        <v>2273</v>
      </c>
      <c r="D78" s="1308"/>
      <c r="E78" s="1184"/>
      <c r="F78" s="1184"/>
      <c r="G78" s="1184"/>
      <c r="H78" s="1232"/>
      <c r="I78" s="1346">
        <f>INDEX(TEMPLATE_NUMBER_POINT_FHD,B78,MATCH(TEMPLATE_SPHERE,TEMPLATE_SPHERE_LIST_FOR_NOTE,0))</f>
        <v>0</v>
      </c>
      <c r="J78" s="1346">
        <f>INDEX(TEMPLATE_DATA_POINT_FHD,B78,MATCH(TEMPLATE_SPHERE,TEMPLATE_SPHERE_LIST_FOR_NOTE,0))</f>
        <v>0</v>
      </c>
      <c r="K78" s="1346">
        <f>INDEX(TEMPLATE_NOTE_POINT_FHD,B78,MATCH(TEMPLATE_SPHERE,TEMPLATE_SPHERE_LIST_FOR_NOTE,0))</f>
        <v>0</v>
      </c>
      <c r="L78" s="1185" t="str">
        <f>IF(I78=0,"",I78)</f>
        <v/>
      </c>
      <c r="M78" s="1185" t="str">
        <f>IF(J78=0,"",J78)</f>
        <v/>
      </c>
      <c r="N78" s="1185" t="str">
        <f>IF(K78=0,"",K78)</f>
        <v/>
      </c>
      <c r="O78" s="1298" t="s">
        <v>93</v>
      </c>
      <c r="P78" s="1298"/>
      <c r="Q78" s="1298"/>
      <c r="R78" s="1298"/>
      <c r="S78" s="1298"/>
      <c r="T78" s="1184" t="s">
        <v>746</v>
      </c>
      <c r="U78" s="1184"/>
      <c r="V78" s="1184"/>
      <c r="W78" s="1184"/>
      <c r="X78" s="1184"/>
      <c r="Y78" s="1341"/>
      <c r="Z78" s="1187" t="s">
        <v>2298</v>
      </c>
      <c r="AA78" s="1190"/>
      <c r="AB78" s="1187"/>
      <c r="AC78" s="1187"/>
      <c r="AD78" s="1187"/>
    </row>
    <row customHeight="1" ht="36">
      <c r="A79" s="1186"/>
      <c r="B79" s="1240">
        <v>62</v>
      </c>
      <c r="C79" s="1184" t="s">
        <v>2275</v>
      </c>
      <c r="D79" s="1308"/>
      <c r="E79" s="1184"/>
      <c r="F79" s="1184"/>
      <c r="G79" s="1184"/>
      <c r="H79" s="1232"/>
      <c r="I79" s="1346">
        <f>INDEX(TEMPLATE_NUMBER_POINT_FHD,B79,MATCH(TEMPLATE_SPHERE,TEMPLATE_SPHERE_LIST_FOR_NOTE,0))</f>
        <v>0</v>
      </c>
      <c r="J79" s="1346">
        <f>INDEX(TEMPLATE_DATA_POINT_FHD,B79,MATCH(TEMPLATE_SPHERE,TEMPLATE_SPHERE_LIST_FOR_NOTE,0))</f>
        <v>0</v>
      </c>
      <c r="K79" s="1346">
        <f>INDEX(TEMPLATE_NOTE_POINT_FHD,B79,MATCH(TEMPLATE_SPHERE,TEMPLATE_SPHERE_LIST_FOR_NOTE,0))</f>
        <v>0</v>
      </c>
      <c r="L79" s="1185" t="str">
        <f>IF(I79=0,"",I79)</f>
        <v/>
      </c>
      <c r="M79" s="1185" t="str">
        <f>IF(J79=0,"",J79)</f>
        <v/>
      </c>
      <c r="N79" s="1185" t="str">
        <f>IF(K79=0,"",K79)</f>
        <v/>
      </c>
      <c r="O79" s="1298" t="s">
        <v>129</v>
      </c>
      <c r="P79" s="1298"/>
      <c r="Q79" s="1298"/>
      <c r="R79" s="1298"/>
      <c r="S79" s="1298"/>
      <c r="T79" s="1184" t="s">
        <v>2299</v>
      </c>
      <c r="U79" s="1184"/>
      <c r="V79" s="1184"/>
      <c r="W79" s="1184"/>
      <c r="X79" s="1184"/>
      <c r="Y79" s="1341"/>
      <c r="Z79" s="1187" t="s">
        <v>2300</v>
      </c>
      <c r="AA79" s="1190"/>
      <c r="AB79" s="1187"/>
      <c r="AC79" s="1187"/>
      <c r="AD79" s="1187"/>
    </row>
    <row customHeight="1" ht="45">
      <c r="A80" s="1186"/>
      <c r="B80" s="1240">
        <v>63</v>
      </c>
      <c r="C80" s="1184" t="s">
        <v>2277</v>
      </c>
      <c r="D80" s="1308"/>
      <c r="E80" s="1184"/>
      <c r="F80" s="1184"/>
      <c r="G80" s="1184"/>
      <c r="H80" s="1232"/>
      <c r="I80" s="1346">
        <f>INDEX(TEMPLATE_NUMBER_POINT_FHD,B80,MATCH(TEMPLATE_SPHERE,TEMPLATE_SPHERE_LIST_FOR_NOTE,0))</f>
        <v>0</v>
      </c>
      <c r="J80" s="1346">
        <f>INDEX(TEMPLATE_DATA_POINT_FHD,B80,MATCH(TEMPLATE_SPHERE,TEMPLATE_SPHERE_LIST_FOR_NOTE,0))</f>
        <v>0</v>
      </c>
      <c r="K80" s="1346">
        <f>INDEX(TEMPLATE_NOTE_POINT_FHD,B80,MATCH(TEMPLATE_SPHERE,TEMPLATE_SPHERE_LIST_FOR_NOTE,0))</f>
        <v>0</v>
      </c>
      <c r="L80" s="1185" t="str">
        <f>IF(I80=0,"",I80)</f>
        <v/>
      </c>
      <c r="M80" s="1185" t="str">
        <f>IF(J80=0,"",J80)</f>
        <v/>
      </c>
      <c r="N80" s="1185" t="str">
        <f>IF(K80=0,"",K80)</f>
        <v/>
      </c>
      <c r="O80" s="1298" t="s">
        <v>134</v>
      </c>
      <c r="P80" s="1298"/>
      <c r="Q80" s="1298"/>
      <c r="R80" s="1298"/>
      <c r="S80" s="1298"/>
      <c r="T80" s="1184" t="s">
        <v>2301</v>
      </c>
      <c r="U80" s="1184"/>
      <c r="V80" s="1184"/>
      <c r="W80" s="1184"/>
      <c r="X80" s="1184"/>
      <c r="Y80" s="1341"/>
      <c r="Z80" s="1187" t="s">
        <v>2302</v>
      </c>
      <c r="AA80" s="1190"/>
      <c r="AB80" s="1187"/>
      <c r="AC80" s="1187"/>
      <c r="AD80" s="1187"/>
    </row>
    <row customHeight="1" ht="36">
      <c r="A81" s="1186"/>
      <c r="B81" s="1240">
        <v>64</v>
      </c>
      <c r="C81" s="1184" t="s">
        <v>2279</v>
      </c>
      <c r="D81" s="1308"/>
      <c r="E81" s="1184"/>
      <c r="F81" s="1184"/>
      <c r="G81" s="1184"/>
      <c r="H81" s="1232"/>
      <c r="I81" s="1346">
        <f>INDEX(TEMPLATE_NUMBER_POINT_FHD,B81,MATCH(TEMPLATE_SPHERE,TEMPLATE_SPHERE_LIST_FOR_NOTE,0))</f>
        <v>0</v>
      </c>
      <c r="J81" s="1346">
        <f>INDEX(TEMPLATE_DATA_POINT_FHD,B81,MATCH(TEMPLATE_SPHERE,TEMPLATE_SPHERE_LIST_FOR_NOTE,0))</f>
        <v>0</v>
      </c>
      <c r="K81" s="1346">
        <f>INDEX(TEMPLATE_NOTE_POINT_FHD,B81,MATCH(TEMPLATE_SPHERE,TEMPLATE_SPHERE_LIST_FOR_NOTE,0))</f>
        <v>0</v>
      </c>
      <c r="L81" s="1185" t="str">
        <f>IF(I81=0,"",I81)</f>
        <v/>
      </c>
      <c r="M81" s="1185" t="str">
        <f>IF(J81=0,"",J81)</f>
        <v/>
      </c>
      <c r="N81" s="1185" t="str">
        <f>IF(K81=0,"",K81)</f>
        <v/>
      </c>
      <c r="O81" s="1298" t="s">
        <v>2185</v>
      </c>
      <c r="P81" s="1298"/>
      <c r="Q81" s="1298"/>
      <c r="R81" s="1298"/>
      <c r="S81" s="1298"/>
      <c r="T81" s="1184" t="s">
        <v>2303</v>
      </c>
      <c r="U81" s="1184"/>
      <c r="V81" s="1184"/>
      <c r="W81" s="1184"/>
      <c r="X81" s="1184"/>
      <c r="Y81" s="1341"/>
      <c r="Z81" s="1187" t="s">
        <v>2304</v>
      </c>
      <c r="AA81" s="1190"/>
      <c r="AB81" s="1187"/>
      <c r="AC81" s="1187"/>
      <c r="AD81" s="1187"/>
    </row>
    <row customHeight="1" ht="90">
      <c r="A82" s="1186"/>
      <c r="B82" s="1240">
        <v>65</v>
      </c>
      <c r="C82" s="1184" t="s">
        <v>2288</v>
      </c>
      <c r="D82" s="1308"/>
      <c r="E82" s="1184"/>
      <c r="F82" s="1184"/>
      <c r="G82" s="1184"/>
      <c r="H82" s="1232"/>
      <c r="I82" s="1346">
        <f>INDEX(TEMPLATE_NUMBER_POINT_FHD,B82,MATCH(TEMPLATE_SPHERE,TEMPLATE_SPHERE_LIST_FOR_NOTE,0))</f>
        <v>0</v>
      </c>
      <c r="J82" s="1346">
        <f>INDEX(TEMPLATE_DATA_POINT_FHD,B82,MATCH(TEMPLATE_SPHERE,TEMPLATE_SPHERE_LIST_FOR_NOTE,0))</f>
        <v>0</v>
      </c>
      <c r="K82" s="1346">
        <f>INDEX(TEMPLATE_NOTE_POINT_FHD,B82,MATCH(TEMPLATE_SPHERE,TEMPLATE_SPHERE_LIST_FOR_NOTE,0))</f>
        <v>0</v>
      </c>
      <c r="L82" s="1185" t="str">
        <f>IF(I82=0,"",I82)</f>
        <v/>
      </c>
      <c r="M82" s="1185" t="str">
        <f>IF(J82=0,"",J82)</f>
        <v/>
      </c>
      <c r="N82" s="1185" t="str">
        <f>IF(K82=0,"",K82)</f>
        <v/>
      </c>
      <c r="O82" s="1298" t="s">
        <v>138</v>
      </c>
      <c r="P82" s="1298"/>
      <c r="Q82" s="1298"/>
      <c r="R82" s="1298"/>
      <c r="S82" s="1298"/>
      <c r="T82" s="1184" t="s">
        <v>2305</v>
      </c>
      <c r="U82" s="1184"/>
      <c r="V82" s="1184"/>
      <c r="W82" s="1184"/>
      <c r="X82" s="1184"/>
      <c r="Y82" s="1341"/>
      <c r="Z82" s="1187" t="s">
        <v>2306</v>
      </c>
      <c r="AA82" s="1190"/>
      <c r="AB82" s="1187"/>
      <c r="AC82" s="1187"/>
      <c r="AD82" s="1187"/>
    </row>
    <row customHeight="1" ht="9">
      <c r="A83" s="1186"/>
      <c r="B83" s="1240">
        <v>66</v>
      </c>
      <c r="C83" s="1184"/>
      <c r="D83" s="1308"/>
      <c r="E83" s="1184"/>
      <c r="F83" s="1184"/>
      <c r="G83" s="1184"/>
      <c r="H83" s="1232"/>
      <c r="I83" s="1346">
        <f>INDEX(TEMPLATE_NUMBER_POINT_FHD,B83,MATCH(TEMPLATE_SPHERE,TEMPLATE_SPHERE_LIST_FOR_NOTE,0))</f>
        <v>0</v>
      </c>
      <c r="J83" s="1346">
        <f>INDEX(TEMPLATE_DATA_POINT_FHD,B83,MATCH(TEMPLATE_SPHERE,TEMPLATE_SPHERE_LIST_FOR_NOTE,0))</f>
        <v>0</v>
      </c>
      <c r="K83" s="1346">
        <f>INDEX(TEMPLATE_NOTE_POINT_FHD,B83,MATCH(TEMPLATE_SPHERE,TEMPLATE_SPHERE_LIST_FOR_NOTE,0))</f>
        <v>0</v>
      </c>
      <c r="L83" s="1185" t="str">
        <f>IF(I83=0,"",I83)</f>
        <v/>
      </c>
      <c r="M83" s="1185" t="str">
        <f>IF(J83=0,"",J83)</f>
        <v/>
      </c>
      <c r="N83" s="1185" t="str">
        <f>IF(K83=0,"",K83)</f>
        <v/>
      </c>
      <c r="O83" s="1298" t="s">
        <v>2194</v>
      </c>
      <c r="P83" s="1298"/>
      <c r="Q83" s="1298"/>
      <c r="R83" s="1298"/>
      <c r="S83" s="1298"/>
      <c r="T83" s="1184" t="s">
        <v>2307</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f>INDEX(TEMPLATE_NUMBER_POINT_FHD,B84,MATCH(TEMPLATE_SPHERE,TEMPLATE_SPHERE_LIST_FOR_NOTE,0))</f>
        <v>0</v>
      </c>
      <c r="J84" s="1346">
        <f>INDEX(TEMPLATE_DATA_POINT_FHD,B84,MATCH(TEMPLATE_SPHERE,TEMPLATE_SPHERE_LIST_FOR_NOTE,0))</f>
        <v>0</v>
      </c>
      <c r="K84" s="1346">
        <f>INDEX(TEMPLATE_NOTE_POINT_FHD,B84,MATCH(TEMPLATE_SPHERE,TEMPLATE_SPHERE_LIST_FOR_NOTE,0))</f>
        <v>0</v>
      </c>
      <c r="L84" s="1185" t="str">
        <f>IF(I84=0,"",I84)</f>
        <v/>
      </c>
      <c r="M84" s="1185" t="str">
        <f>IF(J84=0,"",J84)</f>
        <v/>
      </c>
      <c r="N84" s="1185" t="str">
        <f>IF(K84=0,"",K84)</f>
        <v/>
      </c>
      <c r="O84" s="1298" t="s">
        <v>2308</v>
      </c>
      <c r="P84" s="1298"/>
      <c r="Q84" s="1298"/>
      <c r="R84" s="1298"/>
      <c r="S84" s="1298"/>
      <c r="T84" s="1184" t="s">
        <v>2309</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f>INDEX(TEMPLATE_NUMBER_POINT_FHD,B85,MATCH(TEMPLATE_SPHERE,TEMPLATE_SPHERE_LIST_FOR_NOTE,0))</f>
        <v>0</v>
      </c>
      <c r="J85" s="1346">
        <f>INDEX(TEMPLATE_DATA_POINT_FHD,B85,MATCH(TEMPLATE_SPHERE,TEMPLATE_SPHERE_LIST_FOR_NOTE,0))</f>
        <v>0</v>
      </c>
      <c r="K85" s="1346">
        <f>INDEX(TEMPLATE_NOTE_POINT_FHD,B85,MATCH(TEMPLATE_SPHERE,TEMPLATE_SPHERE_LIST_FOR_NOTE,0))</f>
        <v>0</v>
      </c>
      <c r="L85" s="1185" t="str">
        <f>IF(I85=0,"",I85)</f>
        <v/>
      </c>
      <c r="M85" s="1185" t="str">
        <f>IF(J85=0,"",J85)</f>
        <v/>
      </c>
      <c r="N85" s="1185" t="str">
        <f>IF(K85=0,"",K85)</f>
        <v/>
      </c>
      <c r="O85" s="1298" t="s">
        <v>2198</v>
      </c>
      <c r="P85" s="1298"/>
      <c r="Q85" s="1298"/>
      <c r="R85" s="1298"/>
      <c r="S85" s="1298"/>
      <c r="T85" s="1184" t="s">
        <v>2310</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f>INDEX(TEMPLATE_NUMBER_POINT_FHD,B86,MATCH(TEMPLATE_SPHERE,TEMPLATE_SPHERE_LIST_FOR_NOTE,0))</f>
        <v>0</v>
      </c>
      <c r="J86" s="1346">
        <f>INDEX(TEMPLATE_DATA_POINT_FHD,B86,MATCH(TEMPLATE_SPHERE,TEMPLATE_SPHERE_LIST_FOR_NOTE,0))</f>
        <v>0</v>
      </c>
      <c r="K86" s="1346">
        <f>INDEX(TEMPLATE_NOTE_POINT_FHD,B86,MATCH(TEMPLATE_SPHERE,TEMPLATE_SPHERE_LIST_FOR_NOTE,0))</f>
        <v>0</v>
      </c>
      <c r="L86" s="1185" t="str">
        <f>IF(I86=0,"",I86)</f>
        <v/>
      </c>
      <c r="M86" s="1185" t="str">
        <f>IF(J86=0,"",J86)</f>
        <v/>
      </c>
      <c r="N86" s="1185" t="str">
        <f>IF(K86=0,"",K86)</f>
        <v/>
      </c>
      <c r="O86" s="1298" t="s">
        <v>2311</v>
      </c>
      <c r="P86" s="1298"/>
      <c r="Q86" s="1298"/>
      <c r="R86" s="1298"/>
      <c r="S86" s="1298"/>
      <c r="T86" s="1184" t="s">
        <v>2312</v>
      </c>
      <c r="U86" s="1184"/>
      <c r="V86" s="1184"/>
      <c r="W86" s="1184"/>
      <c r="X86" s="1184"/>
      <c r="Y86" s="1341"/>
      <c r="Z86" s="1187"/>
      <c r="AA86" s="1190"/>
      <c r="AB86" s="1187"/>
      <c r="AC86" s="1187"/>
      <c r="AD86" s="1187"/>
    </row>
    <row customHeight="1" ht="36">
      <c r="A87" s="1186"/>
      <c r="B87" s="1240">
        <v>70</v>
      </c>
      <c r="C87" s="1184" t="s">
        <v>2313</v>
      </c>
      <c r="D87" s="1308"/>
      <c r="E87" s="1184"/>
      <c r="F87" s="1184"/>
      <c r="G87" s="1184"/>
      <c r="H87" s="1232"/>
      <c r="I87" s="1346">
        <f>INDEX(TEMPLATE_NUMBER_POINT_FHD,B87,MATCH(TEMPLATE_SPHERE,TEMPLATE_SPHERE_LIST_FOR_NOTE,0))</f>
        <v>0</v>
      </c>
      <c r="J87" s="1346">
        <f>INDEX(TEMPLATE_DATA_POINT_FHD,B87,MATCH(TEMPLATE_SPHERE,TEMPLATE_SPHERE_LIST_FOR_NOTE,0))</f>
        <v>0</v>
      </c>
      <c r="K87" s="1346">
        <f>INDEX(TEMPLATE_NOTE_POINT_FHD,B87,MATCH(TEMPLATE_SPHERE,TEMPLATE_SPHERE_LIST_FOR_NOTE,0))</f>
        <v>0</v>
      </c>
      <c r="L87" s="1185" t="str">
        <f>IF(I87=0,"",I87)</f>
        <v/>
      </c>
      <c r="M87" s="1185" t="str">
        <f>IF(J87=0,"",J87)</f>
        <v/>
      </c>
      <c r="N87" s="1185" t="str">
        <f>IF(K87=0,"",K87)</f>
        <v/>
      </c>
      <c r="O87" s="1298" t="s">
        <v>143</v>
      </c>
      <c r="P87" s="1298"/>
      <c r="Q87" s="1298"/>
      <c r="R87" s="1298"/>
      <c r="S87" s="1298"/>
      <c r="T87" s="1184" t="s">
        <v>2314</v>
      </c>
      <c r="U87" s="1184"/>
      <c r="V87" s="1184"/>
      <c r="W87" s="1184"/>
      <c r="X87" s="1184"/>
      <c r="Y87" s="1341"/>
      <c r="Z87" s="1187"/>
      <c r="AA87" s="1190"/>
      <c r="AB87" s="1187"/>
      <c r="AC87" s="1187"/>
      <c r="AD87" s="1187"/>
    </row>
    <row customHeight="1" ht="18">
      <c r="A88" s="1186"/>
      <c r="B88" s="1240">
        <v>71</v>
      </c>
      <c r="C88" s="1184" t="s">
        <v>2315</v>
      </c>
      <c r="D88" s="1308"/>
      <c r="E88" s="1184"/>
      <c r="F88" s="1184"/>
      <c r="G88" s="1184"/>
      <c r="H88" s="1232"/>
      <c r="I88" s="1346">
        <f>INDEX(TEMPLATE_NUMBER_POINT_FHD,B88,MATCH(TEMPLATE_SPHERE,TEMPLATE_SPHERE_LIST_FOR_NOTE,0))</f>
        <v>0</v>
      </c>
      <c r="J88" s="1346">
        <f>INDEX(TEMPLATE_DATA_POINT_FHD,B88,MATCH(TEMPLATE_SPHERE,TEMPLATE_SPHERE_LIST_FOR_NOTE,0))</f>
        <v>0</v>
      </c>
      <c r="K88" s="1346">
        <f>INDEX(TEMPLATE_NOTE_POINT_FHD,B88,MATCH(TEMPLATE_SPHERE,TEMPLATE_SPHERE_LIST_FOR_NOTE,0))</f>
        <v>0</v>
      </c>
      <c r="L88" s="1185" t="str">
        <f>IF(I88=0,"",I88)</f>
        <v/>
      </c>
      <c r="M88" s="1185" t="str">
        <f>IF(J88=0,"",J88)</f>
        <v/>
      </c>
      <c r="N88" s="1185" t="str">
        <f>IF(K88=0,"",K88)</f>
        <v/>
      </c>
      <c r="O88" s="1298" t="s">
        <v>189</v>
      </c>
      <c r="P88" s="1298"/>
      <c r="Q88" s="1298"/>
      <c r="R88" s="1298"/>
      <c r="S88" s="1298"/>
      <c r="T88" s="1184" t="s">
        <v>778</v>
      </c>
      <c r="U88" s="1184"/>
      <c r="V88" s="1184"/>
      <c r="W88" s="1184"/>
      <c r="X88" s="1184"/>
      <c r="Y88" s="1341"/>
      <c r="Z88" s="1187"/>
      <c r="AA88" s="1190"/>
      <c r="AB88" s="1187"/>
      <c r="AC88" s="1187"/>
      <c r="AD88" s="1187"/>
    </row>
    <row customHeight="1" ht="18">
      <c r="A89" s="1186"/>
      <c r="B89" s="1240">
        <v>72</v>
      </c>
      <c r="C89" s="1184" t="s">
        <v>2316</v>
      </c>
      <c r="D89" s="1308" t="s">
        <v>2313</v>
      </c>
      <c r="E89" s="1184" t="s">
        <v>2313</v>
      </c>
      <c r="F89" s="1184" t="s">
        <v>2279</v>
      </c>
      <c r="G89" s="1184"/>
      <c r="H89" s="1232"/>
      <c r="I89" s="1346" t="str">
        <f>INDEX(TEMPLATE_NUMBER_POINT_FHD,B89,MATCH(TEMPLATE_SPHERE,TEMPLATE_SPHERE_LIST_FOR_NOTE,0))</f>
        <v>12</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12</v>
      </c>
      <c r="M89" s="1185" t="str">
        <f>IF(J89=0,"",J89)</f>
        <v>Среднесписочная численность основного производственного персонала</v>
      </c>
      <c r="N89" s="1185" t="str">
        <f>IF(K89=0,"",K89)</f>
        <v/>
      </c>
      <c r="O89" s="1298" t="s">
        <v>190</v>
      </c>
      <c r="P89" s="1298" t="s">
        <v>189</v>
      </c>
      <c r="Q89" s="1298" t="s">
        <v>189</v>
      </c>
      <c r="R89" s="1298" t="s">
        <v>138</v>
      </c>
      <c r="S89" s="1298"/>
      <c r="T89" s="1184" t="s">
        <v>786</v>
      </c>
      <c r="U89" s="1184" t="s">
        <v>786</v>
      </c>
      <c r="V89" s="1184" t="s">
        <v>786</v>
      </c>
      <c r="W89" s="1184" t="s">
        <v>786</v>
      </c>
      <c r="X89" s="1184"/>
      <c r="Y89" s="1341"/>
      <c r="Z89" s="1187"/>
      <c r="AA89" s="1190"/>
      <c r="AB89" s="1187"/>
      <c r="AC89" s="1187"/>
      <c r="AD89" s="1187"/>
    </row>
    <row customHeight="1" ht="27">
      <c r="A90" s="1186"/>
      <c r="B90" s="1240">
        <v>73</v>
      </c>
      <c r="C90" s="1184" t="s">
        <v>2317</v>
      </c>
      <c r="D90" s="1308"/>
      <c r="E90" s="1184"/>
      <c r="F90" s="1184"/>
      <c r="G90" s="1184"/>
      <c r="H90" s="1232"/>
      <c r="I90" s="1346">
        <f>INDEX(TEMPLATE_NUMBER_POINT_FHD,B90,MATCH(TEMPLATE_SPHERE,TEMPLATE_SPHERE_LIST_FOR_NOTE,0))</f>
        <v>0</v>
      </c>
      <c r="J90" s="1346">
        <f>INDEX(TEMPLATE_DATA_POINT_FHD,B90,MATCH(TEMPLATE_SPHERE,TEMPLATE_SPHERE_LIST_FOR_NOTE,0))</f>
        <v>0</v>
      </c>
      <c r="K90" s="1346">
        <f>INDEX(TEMPLATE_NOTE_POINT_FHD,B90,MATCH(TEMPLATE_SPHERE,TEMPLATE_SPHERE_LIST_FOR_NOTE,0))</f>
        <v>0</v>
      </c>
      <c r="L90" s="1185" t="str">
        <f>IF(I90=0,"",I90)</f>
        <v/>
      </c>
      <c r="M90" s="1185" t="str">
        <f>IF(J90=0,"",J90)</f>
        <v/>
      </c>
      <c r="N90" s="1185" t="str">
        <f>IF(K90=0,"",K90)</f>
        <v/>
      </c>
      <c r="O90" s="1298" t="s">
        <v>191</v>
      </c>
      <c r="P90" s="1298"/>
      <c r="Q90" s="1298"/>
      <c r="R90" s="1298"/>
      <c r="S90" s="1298"/>
      <c r="T90" s="1184" t="s">
        <v>788</v>
      </c>
      <c r="U90" s="1184"/>
      <c r="V90" s="1184"/>
      <c r="W90" s="1184"/>
      <c r="X90" s="1184"/>
      <c r="Y90" s="1341"/>
      <c r="Z90" s="1187"/>
      <c r="AA90" s="1190"/>
      <c r="AB90" s="1187"/>
      <c r="AC90" s="1187"/>
      <c r="AD90" s="1187"/>
    </row>
    <row customHeight="1" ht="18">
      <c r="A91" s="1186"/>
      <c r="B91" s="1240">
        <v>74</v>
      </c>
      <c r="C91" s="1184"/>
      <c r="D91" s="1308" t="s">
        <v>2315</v>
      </c>
      <c r="E91" s="1184" t="s">
        <v>2315</v>
      </c>
      <c r="F91" s="1184"/>
      <c r="G91" s="1184"/>
      <c r="H91" s="1232"/>
      <c r="I91" s="1346" t="str">
        <f>INDEX(TEMPLATE_NUMBER_POINT_FHD,B91,MATCH(TEMPLATE_SPHERE,TEMPLATE_SPHERE_LIST_FOR_NOTE,0))</f>
        <v>13</v>
      </c>
      <c r="J91" s="1346" t="str">
        <f>INDEX(TEMPLATE_DATA_POINT_FHD,B91,MATCH(TEMPLATE_SPHERE,TEMPLATE_SPHERE_LIST_FOR_NOTE,0))</f>
        <v>Удельный расход электрической энергии на подачу воды в сеть</v>
      </c>
      <c r="K91" s="1346">
        <f>INDEX(TEMPLATE_NOTE_POINT_FHD,B91,MATCH(TEMPLATE_SPHERE,TEMPLATE_SPHERE_LIST_FOR_NOTE,0))</f>
        <v>0</v>
      </c>
      <c r="L91" s="1185" t="str">
        <f>IF(I91=0,"",I91)</f>
        <v>13</v>
      </c>
      <c r="M91" s="1185" t="str">
        <f>IF(J91=0,"",J91)</f>
        <v>Удельный расход электрической энергии на подачу воды в сеть</v>
      </c>
      <c r="N91" s="1185" t="str">
        <f>IF(K91=0,"",K91)</f>
        <v/>
      </c>
      <c r="O91" s="1298"/>
      <c r="P91" s="1298" t="s">
        <v>190</v>
      </c>
      <c r="Q91" s="1298" t="s">
        <v>190</v>
      </c>
      <c r="R91" s="1298"/>
      <c r="S91" s="1298"/>
      <c r="T91" s="1184"/>
      <c r="U91" s="1184" t="s">
        <v>2318</v>
      </c>
      <c r="V91" s="1184" t="s">
        <v>2318</v>
      </c>
      <c r="W91" s="1184"/>
      <c r="X91" s="1184"/>
      <c r="Y91" s="1341"/>
      <c r="Z91" s="1187"/>
      <c r="AA91" s="1190"/>
      <c r="AB91" s="1187"/>
      <c r="AC91" s="1187"/>
      <c r="AD91" s="1187"/>
    </row>
    <row customHeight="1" ht="27">
      <c r="A92" s="1186"/>
      <c r="B92" s="1240">
        <v>75</v>
      </c>
      <c r="C92" s="1184"/>
      <c r="D92" s="1308" t="s">
        <v>2316</v>
      </c>
      <c r="E92" s="1184"/>
      <c r="F92" s="1184"/>
      <c r="G92" s="1184"/>
      <c r="H92" s="1232"/>
      <c r="I92" s="1346" t="str">
        <f>INDEX(TEMPLATE_NUMBER_POINT_FHD,B92,MATCH(TEMPLATE_SPHERE,TEMPLATE_SPHERE_LIST_FOR_NOTE,0))</f>
        <v>14</v>
      </c>
      <c r="J92" s="1346" t="str">
        <f>INDEX(TEMPLATE_DATA_POINT_FHD,B92,MATCH(TEMPLATE_SPHERE,TEMPLATE_SPHERE_LIST_FOR_NOTE,0))</f>
        <v>Расход воды на собственные нужды, в том числе:</v>
      </c>
      <c r="K92" s="1346" t="str">
        <f>INDEX(TEMPLATE_NOTE_POINT_FHD,B92,MATCH(TEMPLATE_SPHERE,TEMPLATE_SPHERE_LIST_FOR_NOTE,0))</f>
        <v>Указывается доля общего расхода воды на собственные нужны от объема отпуска воды потребителям.</v>
      </c>
      <c r="L92" s="1185" t="str">
        <f>IF(I92=0,"",I92)</f>
        <v>14</v>
      </c>
      <c r="M92" s="1185" t="str">
        <f>IF(J92=0,"",J92)</f>
        <v>Расход воды на собственные нужды, в том числе:</v>
      </c>
      <c r="N92" s="1185" t="str">
        <f>IF(K92=0,"",K92)</f>
        <v>Указывается доля общего расхода воды на собственные нужны от объема отпуска воды потребителям.</v>
      </c>
      <c r="O92" s="1298"/>
      <c r="P92" s="1298" t="s">
        <v>191</v>
      </c>
      <c r="Q92" s="1298"/>
      <c r="R92" s="1298"/>
      <c r="S92" s="1298"/>
      <c r="T92" s="1184"/>
      <c r="U92" s="1184" t="s">
        <v>2319</v>
      </c>
      <c r="V92" s="1184"/>
      <c r="W92" s="1184"/>
      <c r="X92" s="1184"/>
      <c r="Y92" s="1341"/>
      <c r="Z92" s="1187"/>
      <c r="AA92" s="1190" t="s">
        <v>2320</v>
      </c>
      <c r="AB92" s="1187"/>
      <c r="AC92" s="1187"/>
      <c r="AD92" s="1187"/>
    </row>
    <row customHeight="1" ht="27">
      <c r="A93" s="1186"/>
      <c r="B93" s="1240">
        <v>76</v>
      </c>
      <c r="C93" s="1184"/>
      <c r="D93" s="1308"/>
      <c r="E93" s="1184"/>
      <c r="F93" s="1184"/>
      <c r="G93" s="1184"/>
      <c r="H93" s="1232"/>
      <c r="I93" s="1346" t="str">
        <f>INDEX(TEMPLATE_NUMBER_POINT_FHD,B93,MATCH(TEMPLATE_SPHERE,TEMPLATE_SPHERE_LIST_FOR_NOTE,0))</f>
        <v>14.1</v>
      </c>
      <c r="J93" s="1346" t="str">
        <f>INDEX(TEMPLATE_DATA_POINT_FHD,B93,MATCH(TEMPLATE_SPHERE,TEMPLATE_SPHERE_LIST_FOR_NOTE,0))</f>
        <v>Расход воды на хозяйственно-бытовые нужды</v>
      </c>
      <c r="K93" s="134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85" t="str">
        <f>IF(I93=0,"",I93)</f>
        <v>14.1</v>
      </c>
      <c r="M93" s="1185" t="str">
        <f>IF(J93=0,"",J93)</f>
        <v>Расход воды на хозяйственно-бытовые нужды</v>
      </c>
      <c r="N93" s="1185" t="str">
        <f>IF(K93=0,"",K93)</f>
        <v>Указывается доля расхода воды на хозяйственно-бытовые нужны от объема отпуска воды потребителям.</v>
      </c>
      <c r="O93" s="1298"/>
      <c r="P93" s="1298" t="s">
        <v>2226</v>
      </c>
      <c r="Q93" s="1298"/>
      <c r="R93" s="1298"/>
      <c r="S93" s="1298"/>
      <c r="T93" s="1184"/>
      <c r="U93" s="1184" t="s">
        <v>2321</v>
      </c>
      <c r="V93" s="1184"/>
      <c r="W93" s="1184"/>
      <c r="X93" s="1184"/>
      <c r="Y93" s="1341"/>
      <c r="Z93" s="1187"/>
      <c r="AA93" s="1190" t="s">
        <v>2322</v>
      </c>
      <c r="AB93" s="1187"/>
      <c r="AC93" s="1187"/>
      <c r="AD93" s="1187"/>
    </row>
    <row customHeight="1" ht="45">
      <c r="A94" s="1186"/>
      <c r="B94" s="1240">
        <v>77</v>
      </c>
      <c r="C94" s="1184"/>
      <c r="D94" s="1308" t="s">
        <v>2317</v>
      </c>
      <c r="E94" s="1184"/>
      <c r="F94" s="1184"/>
      <c r="G94" s="1184"/>
      <c r="H94" s="1232"/>
      <c r="I94" s="1346" t="str">
        <f>INDEX(TEMPLATE_NUMBER_POINT_FHD,B94,MATCH(TEMPLATE_SPHERE,TEMPLATE_SPHERE_LIST_FOR_NOTE,0))</f>
        <v>15</v>
      </c>
      <c r="J94" s="1346" t="str">
        <f>INDEX(TEMPLATE_DATA_POINT_FHD,B94,MATCH(TEMPLATE_SPHERE,TEMPLATE_SPHERE_LIST_FOR_NOTE,0))</f>
        <v>Показатель использования производственных объектов (по объему перекачки), в том числе:</v>
      </c>
      <c r="K94" s="134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85" t="str">
        <f>IF(I94=0,"",I94)</f>
        <v>15</v>
      </c>
      <c r="M94" s="1185" t="str">
        <f>IF(J94=0,"",J94)</f>
        <v>Показатель использования производственных объектов (по объему перекачки), в том числе:</v>
      </c>
      <c r="N94" s="118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98"/>
      <c r="P94" s="1298" t="s">
        <v>1581</v>
      </c>
      <c r="Q94" s="1298"/>
      <c r="R94" s="1298"/>
      <c r="S94" s="1298"/>
      <c r="T94" s="1184"/>
      <c r="U94" s="1184" t="s">
        <v>2323</v>
      </c>
      <c r="V94" s="1184"/>
      <c r="W94" s="1184"/>
      <c r="X94" s="1184"/>
      <c r="Y94" s="1341"/>
      <c r="Z94" s="1187"/>
      <c r="AA94" s="1190" t="s">
        <v>2324</v>
      </c>
      <c r="AB94" s="1187"/>
      <c r="AC94" s="1187"/>
      <c r="AD94" s="1187"/>
    </row>
    <row customHeight="1" ht="99">
      <c r="A95" s="1186"/>
      <c r="B95" s="1240">
        <v>78</v>
      </c>
      <c r="C95" s="1184" t="s">
        <v>2325</v>
      </c>
      <c r="D95" s="1308"/>
      <c r="E95" s="1184"/>
      <c r="F95" s="1184"/>
      <c r="G95" s="1184"/>
      <c r="H95" s="1232"/>
      <c r="I95" s="1346">
        <f>INDEX(TEMPLATE_NUMBER_POINT_FHD,B95,MATCH(TEMPLATE_SPHERE,TEMPLATE_SPHERE_LIST_FOR_NOTE,0))</f>
        <v>0</v>
      </c>
      <c r="J95" s="1346">
        <f>INDEX(TEMPLATE_DATA_POINT_FHD,B95,MATCH(TEMPLATE_SPHERE,TEMPLATE_SPHERE_LIST_FOR_NOTE,0))</f>
        <v>0</v>
      </c>
      <c r="K95" s="1346">
        <f>INDEX(TEMPLATE_NOTE_POINT_FHD,B95,MATCH(TEMPLATE_SPHERE,TEMPLATE_SPHERE_LIST_FOR_NOTE,0))</f>
        <v>0</v>
      </c>
      <c r="L95" s="1185" t="str">
        <f>IF(I95=0,"",I95)</f>
        <v/>
      </c>
      <c r="M95" s="1185" t="str">
        <f>IF(J95=0,"",J95)</f>
        <v/>
      </c>
      <c r="N95" s="1185" t="str">
        <f>IF(K95=0,"",K95)</f>
        <v/>
      </c>
      <c r="O95" s="1298" t="s">
        <v>1581</v>
      </c>
      <c r="P95" s="1298"/>
      <c r="Q95" s="1298"/>
      <c r="R95" s="1298"/>
      <c r="S95" s="1298"/>
      <c r="T95" s="1184" t="s">
        <v>2326</v>
      </c>
      <c r="U95" s="1184"/>
      <c r="V95" s="1184"/>
      <c r="W95" s="1184"/>
      <c r="X95" s="1184"/>
      <c r="Y95" s="1341"/>
      <c r="Z95" s="1187"/>
      <c r="AA95" s="1190"/>
      <c r="AB95" s="1187"/>
      <c r="AC95" s="1187"/>
      <c r="AD95" s="1187"/>
    </row>
    <row customHeight="1" ht="99">
      <c r="A96" s="1186"/>
      <c r="B96" s="1240">
        <v>79</v>
      </c>
      <c r="C96" s="1184" t="s">
        <v>1259</v>
      </c>
      <c r="D96" s="1308"/>
      <c r="E96" s="1184"/>
      <c r="F96" s="1184"/>
      <c r="G96" s="1184"/>
      <c r="H96" s="1232"/>
      <c r="I96" s="1346">
        <f>INDEX(TEMPLATE_NUMBER_POINT_FHD,B96,MATCH(TEMPLATE_SPHERE,TEMPLATE_SPHERE_LIST_FOR_NOTE,0))</f>
        <v>0</v>
      </c>
      <c r="J96" s="1346">
        <f>INDEX(TEMPLATE_DATA_POINT_FHD,B96,MATCH(TEMPLATE_SPHERE,TEMPLATE_SPHERE_LIST_FOR_NOTE,0))</f>
        <v>0</v>
      </c>
      <c r="K96" s="1346">
        <f>INDEX(TEMPLATE_NOTE_POINT_FHD,B96,MATCH(TEMPLATE_SPHERE,TEMPLATE_SPHERE_LIST_FOR_NOTE,0))</f>
        <v>0</v>
      </c>
      <c r="L96" s="1185" t="str">
        <f>IF(I96=0,"",I96)</f>
        <v/>
      </c>
      <c r="M96" s="1185" t="str">
        <f>IF(J96=0,"",J96)</f>
        <v/>
      </c>
      <c r="N96" s="1185" t="str">
        <f>IF(K96=0,"",K96)</f>
        <v/>
      </c>
      <c r="O96" s="1298" t="s">
        <v>118</v>
      </c>
      <c r="P96" s="1298"/>
      <c r="Q96" s="1298"/>
      <c r="R96" s="1298"/>
      <c r="S96" s="1298"/>
      <c r="T96" s="1184" t="s">
        <v>2327</v>
      </c>
      <c r="U96" s="1184"/>
      <c r="V96" s="1184"/>
      <c r="W96" s="1184"/>
      <c r="X96" s="1184"/>
      <c r="Y96" s="1341"/>
      <c r="Z96" s="1187" t="s">
        <v>2328</v>
      </c>
      <c r="AA96" s="1190"/>
      <c r="AB96" s="1187"/>
      <c r="AC96" s="1187"/>
      <c r="AD96" s="1187"/>
    </row>
    <row customHeight="1" ht="63">
      <c r="A97" s="1186"/>
      <c r="B97" s="1240">
        <v>80</v>
      </c>
      <c r="C97" s="1184" t="s">
        <v>2329</v>
      </c>
      <c r="D97" s="1308"/>
      <c r="E97" s="1184"/>
      <c r="F97" s="1184"/>
      <c r="G97" s="1184"/>
      <c r="H97" s="1232"/>
      <c r="I97" s="1346">
        <f>INDEX(TEMPLATE_NUMBER_POINT_FHD,B97,MATCH(TEMPLATE_SPHERE,TEMPLATE_SPHERE_LIST_FOR_NOTE,0))</f>
        <v>0</v>
      </c>
      <c r="J97" s="1346">
        <f>INDEX(TEMPLATE_DATA_POINT_FHD,B97,MATCH(TEMPLATE_SPHERE,TEMPLATE_SPHERE_LIST_FOR_NOTE,0))</f>
        <v>0</v>
      </c>
      <c r="K97" s="1346">
        <f>INDEX(TEMPLATE_NOTE_POINT_FHD,B97,MATCH(TEMPLATE_SPHERE,TEMPLATE_SPHERE_LIST_FOR_NOTE,0))</f>
        <v>0</v>
      </c>
      <c r="L97" s="1185" t="str">
        <f>IF(I97=0,"",I97)</f>
        <v/>
      </c>
      <c r="M97" s="1185" t="str">
        <f>IF(J97=0,"",J97)</f>
        <v/>
      </c>
      <c r="N97" s="1185" t="str">
        <f>IF(K97=0,"",K97)</f>
        <v/>
      </c>
      <c r="O97" s="1298" t="s">
        <v>1598</v>
      </c>
      <c r="P97" s="1298"/>
      <c r="Q97" s="1298"/>
      <c r="R97" s="1298"/>
      <c r="S97" s="1298"/>
      <c r="T97" s="1184" t="s">
        <v>2330</v>
      </c>
      <c r="U97" s="1184"/>
      <c r="V97" s="1184"/>
      <c r="W97" s="1184"/>
      <c r="X97" s="1184"/>
      <c r="Y97" s="1341"/>
      <c r="Z97" s="1187" t="s">
        <v>2331</v>
      </c>
      <c r="AA97" s="1190"/>
      <c r="AB97" s="1187"/>
      <c r="AC97" s="1187"/>
      <c r="AD97" s="1187"/>
    </row>
    <row customHeight="1" ht="63">
      <c r="A98" s="1186"/>
      <c r="B98" s="1240">
        <v>81</v>
      </c>
      <c r="C98" s="1184" t="s">
        <v>2332</v>
      </c>
      <c r="D98" s="1308"/>
      <c r="E98" s="1184"/>
      <c r="F98" s="1184"/>
      <c r="G98" s="1184"/>
      <c r="H98" s="1232"/>
      <c r="I98" s="1346">
        <f>INDEX(TEMPLATE_NUMBER_POINT_FHD,B98,MATCH(TEMPLATE_SPHERE,TEMPLATE_SPHERE_LIST_FOR_NOTE,0))</f>
        <v>0</v>
      </c>
      <c r="J98" s="1346">
        <f>INDEX(TEMPLATE_DATA_POINT_FHD,B98,MATCH(TEMPLATE_SPHERE,TEMPLATE_SPHERE_LIST_FOR_NOTE,0))</f>
        <v>0</v>
      </c>
      <c r="K98" s="1346">
        <f>INDEX(TEMPLATE_NOTE_POINT_FHD,B98,MATCH(TEMPLATE_SPHERE,TEMPLATE_SPHERE_LIST_FOR_NOTE,0))</f>
        <v>0</v>
      </c>
      <c r="L98" s="1185" t="str">
        <f>IF(I98=0,"",I98)</f>
        <v/>
      </c>
      <c r="M98" s="1185" t="str">
        <f>IF(J98=0,"",J98)</f>
        <v/>
      </c>
      <c r="N98" s="1185" t="str">
        <f>IF(K98=0,"",K98)</f>
        <v/>
      </c>
      <c r="O98" s="1298" t="s">
        <v>1612</v>
      </c>
      <c r="P98" s="1298"/>
      <c r="Q98" s="1298"/>
      <c r="R98" s="1298"/>
      <c r="S98" s="1298"/>
      <c r="T98" s="1184" t="s">
        <v>2333</v>
      </c>
      <c r="U98" s="1184"/>
      <c r="V98" s="1184"/>
      <c r="W98" s="1184"/>
      <c r="X98" s="1184"/>
      <c r="Y98" s="1341"/>
      <c r="Z98" s="1187" t="s">
        <v>2331</v>
      </c>
      <c r="AA98" s="1190"/>
      <c r="AB98" s="1187"/>
      <c r="AC98" s="1187"/>
      <c r="AD98" s="1187"/>
    </row>
    <row customHeight="1" ht="90">
      <c r="A99" s="1186"/>
      <c r="B99" s="1240">
        <v>82</v>
      </c>
      <c r="C99" s="1184" t="s">
        <v>2334</v>
      </c>
      <c r="D99" s="1308"/>
      <c r="E99" s="1184"/>
      <c r="F99" s="1184"/>
      <c r="G99" s="1184"/>
      <c r="H99" s="1232"/>
      <c r="I99" s="1346">
        <f>INDEX(TEMPLATE_NUMBER_POINT_FHD,B99,MATCH(TEMPLATE_SPHERE,TEMPLATE_SPHERE_LIST_FOR_NOTE,0))</f>
        <v>0</v>
      </c>
      <c r="J99" s="1346">
        <f>INDEX(TEMPLATE_DATA_POINT_FHD,B99,MATCH(TEMPLATE_SPHERE,TEMPLATE_SPHERE_LIST_FOR_NOTE,0))</f>
        <v>0</v>
      </c>
      <c r="K99" s="1346">
        <f>INDEX(TEMPLATE_NOTE_POINT_FHD,B99,MATCH(TEMPLATE_SPHERE,TEMPLATE_SPHERE_LIST_FOR_NOTE,0))</f>
        <v>0</v>
      </c>
      <c r="L99" s="1185" t="str">
        <f>IF(I99=0,"",I99)</f>
        <v/>
      </c>
      <c r="M99" s="1185" t="str">
        <f>IF(J99=0,"",J99)</f>
        <v/>
      </c>
      <c r="N99" s="1185" t="str">
        <f>IF(K99=0,"",K99)</f>
        <v/>
      </c>
      <c r="O99" s="1298" t="s">
        <v>1624</v>
      </c>
      <c r="P99" s="1298"/>
      <c r="Q99" s="1298"/>
      <c r="R99" s="1298"/>
      <c r="S99" s="1298"/>
      <c r="T99" s="1184" t="s">
        <v>2335</v>
      </c>
      <c r="U99" s="1184"/>
      <c r="V99" s="1184"/>
      <c r="W99" s="1184"/>
      <c r="X99" s="1184"/>
      <c r="Y99" s="1341"/>
      <c r="Z99" s="1187" t="s">
        <v>743</v>
      </c>
      <c r="AA99" s="1190"/>
      <c r="AB99" s="1187"/>
      <c r="AC99" s="1187"/>
      <c r="AD99" s="1187"/>
    </row>
    <row customHeight="1" ht="27">
      <c r="A100" s="1186"/>
      <c r="B100" s="1240">
        <v>83</v>
      </c>
      <c r="C100" s="1184"/>
      <c r="D100" s="1308"/>
      <c r="E100" s="1184"/>
      <c r="F100" s="1184"/>
      <c r="G100" s="1184"/>
      <c r="H100" s="1232"/>
      <c r="I100" s="1346">
        <f>INDEX(TEMPLATE_NUMBER_POINT_FHD,B100,MATCH(TEMPLATE_SPHERE,TEMPLATE_SPHERE_LIST_FOR_NOTE,0))</f>
        <v>0</v>
      </c>
      <c r="J100" s="1346">
        <f>INDEX(TEMPLATE_DATA_POINT_FHD,B100,MATCH(TEMPLATE_SPHERE,TEMPLATE_SPHERE_LIST_FOR_NOTE,0))</f>
        <v>0</v>
      </c>
      <c r="K100" s="1346">
        <f>INDEX(TEMPLATE_NOTE_POINT_FHD,B100,MATCH(TEMPLATE_SPHERE,TEMPLATE_SPHERE_LIST_FOR_NOTE,0))</f>
        <v>0</v>
      </c>
      <c r="L100" s="1185" t="str">
        <f>IF(I100=0,"",I100)</f>
        <v/>
      </c>
      <c r="M100" s="1185" t="str">
        <f>IF(J100=0,"",J100)</f>
        <v/>
      </c>
      <c r="N100" s="1185" t="str">
        <f>IF(K100=0,"",K100)</f>
        <v/>
      </c>
      <c r="O100" s="1298" t="s">
        <v>2336</v>
      </c>
      <c r="P100" s="1298"/>
      <c r="Q100" s="1298"/>
      <c r="R100" s="1298"/>
      <c r="S100" s="1298"/>
      <c r="T100" s="1184" t="s">
        <v>2337</v>
      </c>
      <c r="U100" s="1184"/>
      <c r="V100" s="1184"/>
      <c r="W100" s="1184"/>
      <c r="X100" s="1184"/>
      <c r="Y100" s="1341"/>
      <c r="Z100" s="1187" t="s">
        <v>743</v>
      </c>
      <c r="AA100" s="1190"/>
      <c r="AB100" s="1187"/>
      <c r="AC100" s="1187"/>
      <c r="AD100" s="1187"/>
    </row>
    <row customHeight="1" ht="27">
      <c r="A101" s="1186"/>
      <c r="B101" s="1240">
        <v>84</v>
      </c>
      <c r="C101" s="1184"/>
      <c r="D101" s="1308"/>
      <c r="E101" s="1184"/>
      <c r="F101" s="1184"/>
      <c r="G101" s="1184"/>
      <c r="H101" s="1232"/>
      <c r="I101" s="1346">
        <f>INDEX(TEMPLATE_NUMBER_POINT_FHD,B101,MATCH(TEMPLATE_SPHERE,TEMPLATE_SPHERE_LIST_FOR_NOTE,0))</f>
        <v>0</v>
      </c>
      <c r="J101" s="1346">
        <f>INDEX(TEMPLATE_DATA_POINT_FHD,B101,MATCH(TEMPLATE_SPHERE,TEMPLATE_SPHERE_LIST_FOR_NOTE,0))</f>
        <v>0</v>
      </c>
      <c r="K101" s="1346">
        <f>INDEX(TEMPLATE_NOTE_POINT_FHD,B101,MATCH(TEMPLATE_SPHERE,TEMPLATE_SPHERE_LIST_FOR_NOTE,0))</f>
        <v>0</v>
      </c>
      <c r="L101" s="1185" t="str">
        <f>IF(I101=0,"",I101)</f>
        <v/>
      </c>
      <c r="M101" s="1185" t="str">
        <f>IF(J101=0,"",J101)</f>
        <v/>
      </c>
      <c r="N101" s="1185" t="str">
        <f>IF(K101=0,"",K101)</f>
        <v/>
      </c>
      <c r="O101" s="1298" t="s">
        <v>2338</v>
      </c>
      <c r="P101" s="1298"/>
      <c r="Q101" s="1298"/>
      <c r="R101" s="1298"/>
      <c r="S101" s="1298"/>
      <c r="T101" s="1184" t="s">
        <v>2339</v>
      </c>
      <c r="U101" s="1184"/>
      <c r="V101" s="1184"/>
      <c r="W101" s="1184"/>
      <c r="X101" s="1184"/>
      <c r="Y101" s="1341"/>
      <c r="Z101" s="1187" t="s">
        <v>743</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1776</v>
      </c>
      <c r="B148" s="1186"/>
      <c r="C148" s="1184" t="s">
        <v>2340</v>
      </c>
      <c r="D148" s="1184" t="s">
        <v>1679</v>
      </c>
      <c r="E148" s="1184" t="s">
        <v>1778</v>
      </c>
      <c r="F148" s="1184" t="s">
        <v>2341</v>
      </c>
      <c r="G148" s="1184"/>
      <c r="H148" s="1184"/>
      <c r="I148" s="1304"/>
      <c r="J148" s="1304"/>
      <c r="K148" s="1304"/>
      <c r="L148" s="1304"/>
      <c r="M148" s="12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89"/>
      <c r="O148" s="1184"/>
      <c r="P148" s="1185"/>
      <c r="Q148" s="1185"/>
      <c r="R148" s="1185"/>
      <c r="S148" s="1184"/>
      <c r="T148" s="1184" t="s">
        <v>2342</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85"/>
      <c r="W148" s="1185"/>
      <c r="X148" s="1184" t="s">
        <v>2343</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1780</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1783</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1787</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25D47-DFBE-0D11-84F9-4DB71BE2944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1687" width="10.57421875" hidden="1"/>
    <col min="2" max="2" style="21687" width="11.00390625" hidden="1" customWidth="1"/>
    <col min="3" max="3" style="21687" width="10.57421875" hidden="1"/>
    <col min="4" max="4" style="21687" width="11.8515625" hidden="1" customWidth="1"/>
    <col min="5" max="5" style="21687" width="12.28125" hidden="1" customWidth="1"/>
    <col min="6" max="8" style="22593" width="12.28125" hidden="1" customWidth="1"/>
    <col min="9" max="9" style="22594" width="3.00390625" customWidth="1"/>
    <col min="10" max="11" style="22595" width="3.00390625" customWidth="1"/>
    <col min="12" max="12" style="22596" width="12.00390625" customWidth="1"/>
    <col min="13" max="13" style="21605" width="31.00390625" customWidth="1"/>
    <col min="14" max="14" style="21605" width="1.00390625" customWidth="1"/>
    <col min="15" max="18" style="21605" width="24.00390625" customWidth="1"/>
    <col min="19" max="19" style="21605" width="11.00390625" customWidth="1"/>
    <col min="20" max="20" style="21605" width="3.7109375" customWidth="1"/>
    <col min="21" max="21" style="21605" width="11.00390625" customWidth="1"/>
    <col min="22" max="22" style="21605" width="8.57421875" customWidth="1"/>
    <col min="23" max="23" style="21605" width="4.00390625" customWidth="1"/>
    <col min="24" max="24" style="21605" width="115.00390625" customWidth="1"/>
    <col min="25" max="29" style="21688" width="10.00390625" customWidth="1"/>
    <col min="30" max="30" style="21605"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2344</v>
      </c>
      <c r="M5" s="2944"/>
      <c r="N5" s="2944"/>
      <c r="O5" s="2944"/>
      <c r="P5" s="2944"/>
      <c r="Q5" s="2944"/>
      <c r="R5" s="2944"/>
      <c r="S5" s="2944"/>
      <c r="T5" s="2944"/>
      <c r="U5" s="2944"/>
      <c r="V5" s="1584"/>
      <c r="AD5" s="1496">
        <v>64</v>
      </c>
    </row>
    <row customHeight="1" ht="14.699999999999998">
      <c r="J6" s="717"/>
      <c r="K6" s="717"/>
      <c r="L6" s="2945" t="str">
        <f>IF(org=0,"Не определено",org)</f>
        <v>КГУП "Примтеплоэнерго"</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21825"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21825" customFormat="1" customHeight="1" ht="24">
      <c r="A9" s="1709"/>
      <c r="B9" s="1709"/>
      <c r="C9" s="1709"/>
      <c r="D9" s="1709"/>
      <c r="E9" s="1709"/>
      <c r="F9" s="1709"/>
      <c r="G9" s="1709"/>
      <c r="H9" s="1709"/>
      <c r="L9" s="1617"/>
      <c r="M9" s="636" t="s">
        <v>535</v>
      </c>
      <c r="N9" s="645"/>
      <c r="O9" s="2592" t="str">
        <f>IF(TITLE_DATE_CHANGE_PERIOD="",IF(TITLE_DATE_PR="","",TITLE_DATE_PR),TITLE_DATE_CHANGE_PERIOD)</f>
        <v>45658.51972222222</v>
      </c>
      <c r="P9" s="2592"/>
      <c r="Q9" s="2592"/>
      <c r="R9" s="2592"/>
      <c r="S9" s="2592"/>
      <c r="T9" s="2592"/>
      <c r="U9" s="2592"/>
      <c r="V9" s="667"/>
      <c r="W9" s="667"/>
      <c r="X9" s="621"/>
      <c r="Y9" s="709"/>
      <c r="Z9" s="709"/>
      <c r="AA9" s="709"/>
      <c r="AB9" s="709"/>
      <c r="AC9" s="709"/>
      <c r="AD9" s="759">
        <v>23</v>
      </c>
    </row>
    <row s="21825" customFormat="1" customHeight="1" ht="24">
      <c r="A10" s="1709"/>
      <c r="B10" s="1709"/>
      <c r="C10" s="1709"/>
      <c r="D10" s="1709"/>
      <c r="E10" s="1709"/>
      <c r="F10" s="1709"/>
      <c r="G10" s="1709"/>
      <c r="H10" s="1709"/>
      <c r="L10" s="1591"/>
      <c r="M10" s="636" t="s">
        <v>536</v>
      </c>
      <c r="N10" s="645"/>
      <c r="O10" s="2592" t="str">
        <f>IF(TITLE_NUMBER_PR_CHANGE="",IF(TITLE_NUMBER_PR="","",TITLE_NUMBER_PR),TITLE_NUMBER_PR_CHANGE)</f>
        <v>27-2139</v>
      </c>
      <c r="P10" s="2592"/>
      <c r="Q10" s="2592"/>
      <c r="R10" s="2592"/>
      <c r="S10" s="2592"/>
      <c r="T10" s="2592"/>
      <c r="U10" s="2592"/>
      <c r="V10" s="667"/>
      <c r="W10" s="667"/>
      <c r="X10" s="621"/>
      <c r="Y10" s="709"/>
      <c r="Z10" s="709"/>
      <c r="AA10" s="709"/>
      <c r="AB10" s="709"/>
      <c r="AC10" s="709"/>
      <c r="AD10" s="759">
        <v>23</v>
      </c>
    </row>
    <row s="21825"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21825"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539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414</v>
      </c>
      <c r="M14" s="2468"/>
      <c r="N14" s="2468"/>
      <c r="O14" s="2468"/>
      <c r="P14" s="2468"/>
      <c r="Q14" s="2468"/>
      <c r="R14" s="2468"/>
      <c r="S14" s="2468"/>
      <c r="T14" s="2468"/>
      <c r="U14" s="2468"/>
      <c r="V14" s="2468"/>
      <c r="W14" s="2468"/>
      <c r="X14" s="2468" t="s">
        <v>415</v>
      </c>
      <c r="AD14" s="1496">
        <v>14</v>
      </c>
    </row>
    <row customHeight="1" ht="14.699999999999998">
      <c r="J15" s="717"/>
      <c r="K15" s="717"/>
      <c r="L15" s="2614" t="s">
        <v>88</v>
      </c>
      <c r="M15" s="2550" t="s">
        <v>540</v>
      </c>
      <c r="N15" s="642"/>
      <c r="O15" s="2615" t="s">
        <v>2345</v>
      </c>
      <c r="P15" s="2616"/>
      <c r="Q15" s="2616"/>
      <c r="R15" s="2616"/>
      <c r="S15" s="2616"/>
      <c r="T15" s="2616"/>
      <c r="U15" s="2617"/>
      <c r="V15" s="2618" t="s">
        <v>542</v>
      </c>
      <c r="W15" s="2621" t="s">
        <v>1256</v>
      </c>
      <c r="X15" s="2468"/>
      <c r="AD15" s="1496">
        <v>14</v>
      </c>
    </row>
    <row customHeight="1" ht="35.699999999999996">
      <c r="J16" s="717"/>
      <c r="K16" s="717"/>
      <c r="L16" s="2614"/>
      <c r="M16" s="2550"/>
      <c r="N16" s="1372"/>
      <c r="O16" s="2601" t="s">
        <v>545</v>
      </c>
      <c r="P16" s="2601" t="s">
        <v>546</v>
      </c>
      <c r="Q16" s="2603" t="s">
        <v>547</v>
      </c>
      <c r="R16" s="2604"/>
      <c r="S16" s="2603" t="s">
        <v>560</v>
      </c>
      <c r="T16" s="2610"/>
      <c r="U16" s="2604"/>
      <c r="V16" s="2619"/>
      <c r="W16" s="2622"/>
      <c r="X16" s="2468"/>
      <c r="AD16" s="1496">
        <v>34</v>
      </c>
    </row>
    <row customHeight="1" ht="35.699999999999996">
      <c r="A17" s="1711" t="s">
        <v>175</v>
      </c>
      <c r="B17" s="1711" t="s">
        <v>176</v>
      </c>
      <c r="C17" s="1711" t="s">
        <v>177</v>
      </c>
      <c r="D17" s="1711" t="s">
        <v>178</v>
      </c>
      <c r="E17" s="1711"/>
      <c r="J17" s="717"/>
      <c r="K17" s="717"/>
      <c r="L17" s="2614"/>
      <c r="M17" s="2550"/>
      <c r="N17" s="643"/>
      <c r="O17" s="2602"/>
      <c r="P17" s="2602"/>
      <c r="Q17" s="1563" t="s">
        <v>556</v>
      </c>
      <c r="R17" s="1563" t="s">
        <v>557</v>
      </c>
      <c r="S17" s="1633" t="s">
        <v>558</v>
      </c>
      <c r="T17" s="2611" t="s">
        <v>559</v>
      </c>
      <c r="U17" s="2612"/>
      <c r="V17" s="2620"/>
      <c r="W17" s="2623"/>
      <c r="X17" s="2468"/>
      <c r="AD17" s="1496">
        <v>34</v>
      </c>
    </row>
    <row s="22350" customFormat="1" customHeight="1" ht="11.549999999999999">
      <c r="A18" s="1711"/>
      <c r="B18" s="1711"/>
      <c r="C18" s="1711"/>
      <c r="D18" s="1711"/>
      <c r="E18" s="1711"/>
      <c r="F18" s="1703"/>
      <c r="G18" s="1703"/>
      <c r="H18" s="1703"/>
      <c r="I18" s="1587"/>
      <c r="J18" s="1588"/>
      <c r="K18" s="1595">
        <v>1</v>
      </c>
      <c r="L18" s="1618" t="s">
        <v>145</v>
      </c>
      <c r="M18" s="1596" t="s">
        <v>103</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206</v>
      </c>
      <c r="B19" s="1704" t="s">
        <v>207</v>
      </c>
      <c r="C19" s="1704" t="s">
        <v>208</v>
      </c>
      <c r="D19" s="1704" t="s">
        <v>209</v>
      </c>
      <c r="E19" s="1704"/>
      <c r="F19" s="1706"/>
      <c r="G19" s="1706"/>
      <c r="H19" s="1706"/>
      <c r="I19" s="702"/>
      <c r="J19" s="701"/>
      <c r="K19" s="696"/>
      <c r="L19" s="1634">
        <f>INDEX(PT_DIFFERENTIATION_NUM_NTAR,MATCH(A19,PT_DIFFERENTIATION_NTAR_ID,0))</f>
        <v>0</v>
      </c>
      <c r="M19" s="639" t="s">
        <v>164</v>
      </c>
      <c r="N19" s="641"/>
      <c r="O19" s="2947" t="str">
        <f>INDEX(PT_DIFFERENTIATION_NTAR,MATCH(A19,PT_DIFFERENTIATION_NTAR_ID,0))</f>
        <v/>
      </c>
      <c r="P19" s="2947"/>
      <c r="Q19" s="2947"/>
      <c r="R19" s="2947"/>
      <c r="S19" s="2947"/>
      <c r="T19" s="2947"/>
      <c r="U19" s="2947"/>
      <c r="V19" s="2947"/>
      <c r="W19" s="2947"/>
      <c r="X19" s="1599" t="s">
        <v>510</v>
      </c>
      <c r="Z19" s="841"/>
      <c r="AA19" s="841" t="str">
        <f>IF(M19="","",M19)</f>
        <v>Наименование тарифа</v>
      </c>
      <c r="AB19" s="841"/>
      <c r="AC19" s="841"/>
      <c r="AD19" s="1496">
        <v>20</v>
      </c>
    </row>
    <row customHeight="1" ht="21">
      <c r="A20" s="1704" t="s">
        <v>206</v>
      </c>
      <c r="B20" s="1704" t="s">
        <v>207</v>
      </c>
      <c r="C20" s="1704" t="s">
        <v>208</v>
      </c>
      <c r="D20" s="1704" t="s">
        <v>209</v>
      </c>
      <c r="E20" s="1704"/>
      <c r="F20" s="1706"/>
      <c r="G20" s="1706"/>
      <c r="H20" s="1706"/>
      <c r="I20" s="1631"/>
      <c r="J20" s="693"/>
      <c r="K20" s="694"/>
      <c r="L20" s="1634" t="str">
        <f>INDEX(PT_DIFFERENTIATION_NUM_TER,MATCH(B19,PT_DIFFERENTIATION_TER_ID,0))</f>
        <v>.</v>
      </c>
      <c r="M20" s="649" t="s">
        <v>511</v>
      </c>
      <c r="N20" s="641"/>
      <c r="O20" s="2947" t="str">
        <f>INDEX(PT_DIFFERENTIATION_TER,MATCH(B19,PT_DIFFERENTIATION_TER_ID,0))</f>
        <v/>
      </c>
      <c r="P20" s="2947"/>
      <c r="Q20" s="2947"/>
      <c r="R20" s="2947"/>
      <c r="S20" s="2947"/>
      <c r="T20" s="2947"/>
      <c r="U20" s="2947"/>
      <c r="V20" s="2947"/>
      <c r="W20" s="2947"/>
      <c r="X20" s="1599" t="s">
        <v>512</v>
      </c>
      <c r="Z20" s="841"/>
      <c r="AA20" s="841" t="str">
        <f>IF(M20="","",M20)</f>
        <v>Территория действия тарифа</v>
      </c>
      <c r="AB20" s="841"/>
      <c r="AC20" s="841"/>
      <c r="AD20" s="1496">
        <v>20</v>
      </c>
    </row>
    <row customHeight="1" ht="24">
      <c r="A21" s="1704" t="s">
        <v>206</v>
      </c>
      <c r="B21" s="1704" t="s">
        <v>207</v>
      </c>
      <c r="C21" s="1704" t="s">
        <v>208</v>
      </c>
      <c r="D21" s="1704" t="s">
        <v>209</v>
      </c>
      <c r="E21" s="1704"/>
      <c r="F21" s="1706"/>
      <c r="G21" s="1706"/>
      <c r="H21" s="1706"/>
      <c r="I21" s="695"/>
      <c r="J21" s="693"/>
      <c r="K21" s="694"/>
      <c r="L21" s="1634" t="str">
        <f>INDEX(PT_DIFFERENTIATION_NUM_CS,MATCH(C19,PT_DIFFERENTIATION_CS_ID,0))</f>
        <v>..</v>
      </c>
      <c r="M21" s="650" t="s">
        <v>513</v>
      </c>
      <c r="N21" s="641"/>
      <c r="O21" s="2947" t="str">
        <f>INDEX(PT_DIFFERENTIATION_CS,MATCH(C19,PT_DIFFERENTIATION_CS_ID,0))</f>
        <v/>
      </c>
      <c r="P21" s="2947"/>
      <c r="Q21" s="2947"/>
      <c r="R21" s="2947"/>
      <c r="S21" s="2947"/>
      <c r="T21" s="2947"/>
      <c r="U21" s="2947"/>
      <c r="V21" s="2947"/>
      <c r="W21" s="2947"/>
      <c r="X21" s="1599" t="s">
        <v>514</v>
      </c>
      <c r="Z21" s="841"/>
      <c r="AA21" s="841" t="str">
        <f>IF(M21="","",M21)</f>
        <v>Наименование системы теплоснабжения </v>
      </c>
      <c r="AB21" s="841"/>
      <c r="AC21" s="841"/>
      <c r="AD21" s="1496">
        <v>23</v>
      </c>
    </row>
    <row customHeight="1" ht="21">
      <c r="A22" s="1704" t="s">
        <v>206</v>
      </c>
      <c r="B22" s="1704" t="s">
        <v>207</v>
      </c>
      <c r="C22" s="1704" t="s">
        <v>208</v>
      </c>
      <c r="D22" s="1704" t="s">
        <v>209</v>
      </c>
      <c r="E22" s="1704"/>
      <c r="F22" s="1706"/>
      <c r="G22" s="1706"/>
      <c r="H22" s="1706"/>
      <c r="I22" s="695"/>
      <c r="J22" s="693"/>
      <c r="K22" s="694"/>
      <c r="L22" s="1634" t="str">
        <f>INDEX(PT_DIFFERENTIATION_NUM_IST_TE,MATCH(D19,PT_DIFFERENTIATION_IST_TE_ID,0))</f>
        <v>...</v>
      </c>
      <c r="M22" s="651" t="s">
        <v>515</v>
      </c>
      <c r="N22" s="641"/>
      <c r="O22" s="2947" t="str">
        <f>INDEX(PT_DIFFERENTIATION_IST_TE,MATCH(D19,PT_DIFFERENTIATION_IST_TE_ID,0))</f>
        <v/>
      </c>
      <c r="P22" s="2947"/>
      <c r="Q22" s="2947"/>
      <c r="R22" s="2947"/>
      <c r="S22" s="2947"/>
      <c r="T22" s="2947"/>
      <c r="U22" s="2947"/>
      <c r="V22" s="2947"/>
      <c r="W22" s="2947"/>
      <c r="X22" s="1599" t="s">
        <v>516</v>
      </c>
      <c r="Z22" s="841"/>
      <c r="AA22" s="841" t="str">
        <f>IF(M22="","",M22)</f>
        <v>Источник тепловой энергии  </v>
      </c>
      <c r="AB22" s="841"/>
      <c r="AC22" s="841"/>
      <c r="AD22" s="1496">
        <v>20</v>
      </c>
    </row>
    <row customHeight="1" ht="96.75">
      <c r="A23" s="1704" t="s">
        <v>206</v>
      </c>
      <c r="B23" s="1704" t="s">
        <v>207</v>
      </c>
      <c r="C23" s="1704" t="s">
        <v>208</v>
      </c>
      <c r="D23" s="1704" t="s">
        <v>209</v>
      </c>
      <c r="E23" s="1704"/>
      <c r="F23" s="2948" t="str">
        <f>L22&amp;".1"</f>
        <v>....1</v>
      </c>
      <c r="I23" s="2598">
        <v>1</v>
      </c>
      <c r="J23" s="1632"/>
      <c r="K23" s="697"/>
      <c r="L23" s="1634" t="str">
        <f>$F$23</f>
        <v>....1</v>
      </c>
      <c r="M23" s="626" t="s">
        <v>518</v>
      </c>
      <c r="N23" s="641"/>
      <c r="O23" s="2646"/>
      <c r="P23" s="2646"/>
      <c r="Q23" s="2646"/>
      <c r="R23" s="2646"/>
      <c r="S23" s="2646"/>
      <c r="T23" s="2646"/>
      <c r="U23" s="2646"/>
      <c r="V23" s="2646"/>
      <c r="W23" s="2646"/>
      <c r="X23" s="1599" t="s">
        <v>519</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206</v>
      </c>
      <c r="B24" s="1704" t="s">
        <v>207</v>
      </c>
      <c r="C24" s="1704" t="s">
        <v>208</v>
      </c>
      <c r="D24" s="1704" t="s">
        <v>209</v>
      </c>
      <c r="E24" s="1704"/>
      <c r="F24" s="2948"/>
      <c r="G24" s="2558" t="str">
        <f>F23&amp;".1"</f>
        <v>....1.1</v>
      </c>
      <c r="I24" s="2598"/>
      <c r="J24" s="2598">
        <v>1</v>
      </c>
      <c r="K24" s="698"/>
      <c r="L24" s="1634" t="str">
        <f>$G$24</f>
        <v>....1.1</v>
      </c>
      <c r="M24" s="627" t="s">
        <v>521</v>
      </c>
      <c r="N24" s="641"/>
      <c r="O24" s="2586"/>
      <c r="P24" s="2587"/>
      <c r="Q24" s="2587"/>
      <c r="R24" s="2587"/>
      <c r="S24" s="2587"/>
      <c r="T24" s="2587"/>
      <c r="U24" s="2587"/>
      <c r="V24" s="2587"/>
      <c r="W24" s="2588"/>
      <c r="X24" s="1599" t="s">
        <v>522</v>
      </c>
      <c r="Z24" s="841"/>
      <c r="AA24" s="841" t="str">
        <f>IF(M24="","",M24)</f>
        <v>Группа потребителей</v>
      </c>
      <c r="AB24" s="841"/>
      <c r="AC24" s="841"/>
      <c r="AD24" s="1496">
        <v>82</v>
      </c>
    </row>
    <row customHeight="1" ht="11.549999999999999">
      <c r="A25" s="1704" t="s">
        <v>206</v>
      </c>
      <c r="B25" s="1704" t="s">
        <v>207</v>
      </c>
      <c r="C25" s="1704" t="s">
        <v>208</v>
      </c>
      <c r="D25" s="1704" t="s">
        <v>209</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524</v>
      </c>
      <c r="Y25" s="852">
        <f>STRCHECKDATE(O26:W26)</f>
      </c>
      <c r="Z25" s="841"/>
      <c r="AA25" s="841" t="str">
        <f>IF(M25="","",M25)</f>
        <v/>
      </c>
      <c r="AB25" s="841"/>
      <c r="AC25" s="841"/>
      <c r="AD25" s="1496">
        <v>11</v>
      </c>
    </row>
    <row customHeight="1" ht="11.549999999999999">
      <c r="A26" s="1704" t="s">
        <v>206</v>
      </c>
      <c r="B26" s="1704" t="s">
        <v>207</v>
      </c>
      <c r="C26" s="1704" t="s">
        <v>208</v>
      </c>
      <c r="D26" s="1704" t="s">
        <v>209</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206</v>
      </c>
      <c r="B27" s="1704" t="s">
        <v>207</v>
      </c>
      <c r="C27" s="1704" t="s">
        <v>208</v>
      </c>
      <c r="D27" s="1704" t="s">
        <v>209</v>
      </c>
      <c r="E27" s="1704"/>
      <c r="F27" s="2948"/>
      <c r="G27" s="2558"/>
      <c r="I27" s="2598"/>
      <c r="J27" s="2598"/>
      <c r="K27" s="697"/>
      <c r="L27" s="1619"/>
      <c r="M27" s="629" t="s">
        <v>525</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206</v>
      </c>
      <c r="B28" s="1704" t="s">
        <v>207</v>
      </c>
      <c r="C28" s="1704" t="s">
        <v>208</v>
      </c>
      <c r="D28" s="1704" t="s">
        <v>209</v>
      </c>
      <c r="E28" s="1704"/>
      <c r="F28" s="2948"/>
      <c r="I28" s="2598"/>
      <c r="J28" s="1632"/>
      <c r="K28" s="697"/>
      <c r="L28" s="1619"/>
      <c r="M28" s="628" t="s">
        <v>526</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206</v>
      </c>
      <c r="B29" s="1704" t="s">
        <v>207</v>
      </c>
      <c r="C29" s="1704" t="s">
        <v>208</v>
      </c>
      <c r="D29" s="1704" t="s">
        <v>209</v>
      </c>
      <c r="E29" s="1704"/>
      <c r="F29" s="1706"/>
      <c r="G29" s="1706"/>
      <c r="H29" s="878"/>
      <c r="I29" s="701"/>
      <c r="J29" s="716"/>
      <c r="K29" s="696"/>
      <c r="L29" s="1619"/>
      <c r="M29" s="706" t="s">
        <v>527</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206</v>
      </c>
      <c r="B30" s="1704" t="s">
        <v>207</v>
      </c>
      <c r="C30" s="1704" t="s">
        <v>208</v>
      </c>
      <c r="D30" s="1704"/>
      <c r="E30" s="1704" t="s">
        <v>698</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206</v>
      </c>
      <c r="B31" s="1704" t="s">
        <v>207</v>
      </c>
      <c r="C31" s="1704"/>
      <c r="D31" s="1704"/>
      <c r="E31" s="1704" t="s">
        <v>2346</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2347</v>
      </c>
      <c r="B32" s="1704"/>
      <c r="C32" s="1704"/>
      <c r="D32" s="1704"/>
      <c r="E32" s="1704" t="s">
        <v>149</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21748" customFormat="1" customHeight="1" ht="11.549999999999999">
      <c r="A33" s="1704"/>
      <c r="B33" s="1704"/>
      <c r="C33" s="1704"/>
      <c r="D33" s="1704"/>
      <c r="E33" s="1704" t="s">
        <v>340</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915</v>
      </c>
      <c r="M35" s="2626" t="s">
        <v>2348</v>
      </c>
      <c r="N35" s="2626"/>
      <c r="O35" s="2626"/>
      <c r="P35" s="2626"/>
      <c r="Q35" s="2626"/>
      <c r="R35" s="2626"/>
      <c r="S35" s="2626"/>
      <c r="T35" s="2626"/>
      <c r="U35" s="2626"/>
      <c r="V35" s="2626"/>
      <c r="W35" s="2626"/>
      <c r="X35" s="2626"/>
      <c r="AD35" s="1496">
        <v>27</v>
      </c>
    </row>
    <row customHeight="1" ht="109.19999999999999">
      <c r="H36" s="878"/>
      <c r="I36" s="1644"/>
      <c r="M36" s="2626" t="s">
        <v>2349</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6090E-F4BF-3DB4-3F0F-5D26B8865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F632-CE04-15E5-ABF6-B7111B9D0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19BD-1BD9-E5DF-AA07-373A09B4C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6FDE4-809F-71F8-AEFA-AED6A9A3BE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26DA2-83A8-E39F-FC2F-440CC53AAB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F9A4-0B1F-95ED-E332-7AD353A5C5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A68C8-753A-9224-04CD-179B3F22C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B31BF-3D9B-4102-C699-8EA6EBD33E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B38A2-C335-BB6F-1EA7-E01A808FEACC}" mc:Ignorable="x14ac xr xr2 xr3">
  <dimension ref="A1:E8"/>
  <sheetViews>
    <sheetView topLeftCell="A1" showGridLines="0" workbookViewId="0">
      <selection activeCell="A1" sqref="A1"/>
    </sheetView>
  </sheetViews>
  <sheetFormatPr customHeight="1" defaultRowHeight="11.25"/>
  <cols>
    <col min="1" max="1" style="27759" width="10.57421875" customWidth="1"/>
    <col min="2" max="2" style="27759" width="8.7109375" customWidth="1"/>
    <col min="3" max="3" style="27759" width="18.140625" customWidth="1"/>
    <col min="4" max="4" style="27759" width="12.57421875" customWidth="1"/>
  </cols>
  <sheetData>
    <row customHeight="1" ht="11.25">
      <c r="A1" s="2956" t="s">
        <v>2350</v>
      </c>
      <c r="B1" s="2957" t="s">
        <v>2351</v>
      </c>
      <c r="C1" s="2958" t="s">
        <v>2352</v>
      </c>
      <c r="D1" s="2959"/>
      <c r="E1" s="1177" t="s">
        <v>2353</v>
      </c>
    </row>
    <row customHeight="1" ht="11.25">
      <c r="A2" s="2960"/>
      <c r="B2" s="1106" t="s">
        <v>26</v>
      </c>
      <c r="C2" s="1094"/>
      <c r="D2" s="1105"/>
      <c r="E2" s="1177"/>
    </row>
    <row customHeight="1" ht="11.25">
      <c r="A3" s="2961"/>
      <c r="B3" s="2962" t="s">
        <v>33</v>
      </c>
      <c r="C3" s="1094"/>
      <c r="D3" s="1105"/>
      <c r="E3" s="1177"/>
    </row>
    <row customHeight="1" ht="11.25">
      <c r="A4" s="2963"/>
      <c r="B4" s="1107" t="s">
        <v>1776</v>
      </c>
      <c r="C4" s="1094"/>
      <c r="D4" s="1105"/>
      <c r="E4" s="1177"/>
    </row>
    <row customHeight="1" ht="11.25">
      <c r="A5" s="2964"/>
      <c r="B5" s="1107" t="s">
        <v>1771</v>
      </c>
      <c r="C5" s="2965" t="s">
        <v>2117</v>
      </c>
      <c r="D5" s="2966" t="s">
        <v>2354</v>
      </c>
      <c r="E5" s="1177"/>
    </row>
    <row s="21748" customFormat="1" customHeight="1" ht="11.25">
      <c r="A6" s="2967"/>
      <c r="B6" s="1107" t="s">
        <v>1780</v>
      </c>
      <c r="C6" s="1094"/>
      <c r="D6" s="1105"/>
      <c r="E6" s="1177"/>
    </row>
    <row customHeight="1" ht="11.25">
      <c r="A7" s="2968"/>
      <c r="B7" s="1107" t="s">
        <v>1787</v>
      </c>
      <c r="C7" s="1094"/>
      <c r="D7" s="1105"/>
      <c r="E7" s="1177"/>
    </row>
    <row customHeight="1" ht="11.25">
      <c r="A8" s="1097"/>
      <c r="B8" s="1107" t="s">
        <v>1783</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E93A6-B211-6219-2A94-635F79CC5F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83E04-AAED-8885-7CE7-C6FA66673E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3634-BB6F-F1D4-3DC1-7343B61ED224}"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1748" width="9.140625"/>
    <col min="3" max="3" style="21748" width="20.7109375" customWidth="1"/>
    <col min="4" max="4" style="21748" width="25.140625" customWidth="1"/>
    <col min="5" max="9" style="21748" width="9.140625"/>
  </cols>
  <sheetData>
    <row customHeight="1" ht="11.25">
      <c r="A1" s="409" t="s">
        <v>2355</v>
      </c>
      <c r="B1" s="409" t="s">
        <v>2356</v>
      </c>
      <c r="C1" s="409" t="s">
        <v>2357</v>
      </c>
      <c r="D1" s="409" t="s">
        <v>2358</v>
      </c>
      <c r="E1" s="409" t="s">
        <v>2359</v>
      </c>
      <c r="F1" s="409" t="s">
        <v>2360</v>
      </c>
      <c r="G1" s="409" t="s">
        <v>2361</v>
      </c>
      <c r="H1" s="409" t="s">
        <v>2362</v>
      </c>
      <c r="I1" s="409" t="s">
        <v>2363</v>
      </c>
    </row>
    <row customHeight="1" ht="11.25">
      <c r="A2" s="5771" t="s">
        <v>2364</v>
      </c>
      <c r="B2" s="5771" t="s">
        <v>16</v>
      </c>
      <c r="C2" s="5771" t="s">
        <v>28</v>
      </c>
      <c r="D2" s="5771" t="s">
        <v>2365</v>
      </c>
      <c r="E2" s="5771" t="s">
        <v>2366</v>
      </c>
      <c r="F2" s="5771" t="s">
        <v>2367</v>
      </c>
      <c r="G2" s="5771" t="s">
        <v>28</v>
      </c>
      <c r="H2" s="5771" t="s">
        <v>28</v>
      </c>
      <c r="I2" s="5771" t="s">
        <v>919</v>
      </c>
    </row>
    <row customHeight="1" ht="11.25">
      <c r="A3" s="5771" t="s">
        <v>2364</v>
      </c>
      <c r="B3" s="5771" t="s">
        <v>16</v>
      </c>
      <c r="C3" s="5771" t="s">
        <v>2368</v>
      </c>
      <c r="D3" s="5771" t="s">
        <v>2369</v>
      </c>
      <c r="E3" s="5771" t="s">
        <v>2370</v>
      </c>
      <c r="F3" s="5771" t="s">
        <v>2371</v>
      </c>
      <c r="G3" s="5771" t="s">
        <v>28</v>
      </c>
      <c r="H3" s="5771" t="s">
        <v>28</v>
      </c>
      <c r="I3" s="5771" t="s">
        <v>919</v>
      </c>
    </row>
    <row customHeight="1" ht="11.25">
      <c r="A4" s="5771" t="s">
        <v>2364</v>
      </c>
      <c r="B4" s="5771" t="s">
        <v>16</v>
      </c>
      <c r="C4" s="5771" t="s">
        <v>2372</v>
      </c>
      <c r="D4" s="5771" t="s">
        <v>2373</v>
      </c>
      <c r="E4" s="5771" t="s">
        <v>2374</v>
      </c>
      <c r="F4" s="5771" t="s">
        <v>2375</v>
      </c>
      <c r="G4" s="5771" t="s">
        <v>28</v>
      </c>
      <c r="H4" s="5771" t="s">
        <v>28</v>
      </c>
      <c r="I4" s="5771" t="s">
        <v>919</v>
      </c>
    </row>
    <row customHeight="1" ht="11.25">
      <c r="A5" s="5771" t="s">
        <v>2364</v>
      </c>
      <c r="B5" s="5771" t="s">
        <v>16</v>
      </c>
      <c r="C5" s="5771" t="s">
        <v>2376</v>
      </c>
      <c r="D5" s="5771" t="s">
        <v>2377</v>
      </c>
      <c r="E5" s="5771" t="s">
        <v>2378</v>
      </c>
      <c r="F5" s="5771" t="s">
        <v>2379</v>
      </c>
      <c r="G5" s="5771" t="s">
        <v>28</v>
      </c>
      <c r="H5" s="5771" t="s">
        <v>28</v>
      </c>
      <c r="I5" s="5771" t="s">
        <v>919</v>
      </c>
    </row>
    <row customHeight="1" ht="11.25">
      <c r="A6" s="5771" t="s">
        <v>2364</v>
      </c>
      <c r="B6" s="5771" t="s">
        <v>16</v>
      </c>
      <c r="C6" s="5771" t="s">
        <v>2380</v>
      </c>
      <c r="D6" s="5771" t="s">
        <v>2381</v>
      </c>
      <c r="E6" s="5771" t="s">
        <v>2382</v>
      </c>
      <c r="F6" s="5771" t="s">
        <v>2383</v>
      </c>
      <c r="G6" s="5771" t="s">
        <v>28</v>
      </c>
      <c r="H6" s="5771" t="s">
        <v>28</v>
      </c>
      <c r="I6" s="5771" t="s">
        <v>919</v>
      </c>
    </row>
    <row customHeight="1" ht="11.25">
      <c r="A7" s="5771" t="s">
        <v>2364</v>
      </c>
      <c r="B7" s="5771" t="s">
        <v>16</v>
      </c>
      <c r="C7" s="5771" t="s">
        <v>2384</v>
      </c>
      <c r="D7" s="5771" t="s">
        <v>2381</v>
      </c>
      <c r="E7" s="5771" t="s">
        <v>2382</v>
      </c>
      <c r="F7" s="5771" t="s">
        <v>2385</v>
      </c>
      <c r="G7" s="5771" t="s">
        <v>2386</v>
      </c>
      <c r="H7" s="5771" t="s">
        <v>28</v>
      </c>
      <c r="I7" s="5771" t="s">
        <v>919</v>
      </c>
    </row>
    <row customHeight="1" ht="11.25">
      <c r="A8" s="5771" t="s">
        <v>2364</v>
      </c>
      <c r="B8" s="5771" t="s">
        <v>16</v>
      </c>
      <c r="C8" s="5771" t="s">
        <v>2387</v>
      </c>
      <c r="D8" s="5771" t="s">
        <v>2388</v>
      </c>
      <c r="E8" s="5771" t="s">
        <v>2382</v>
      </c>
      <c r="F8" s="5771" t="s">
        <v>2389</v>
      </c>
      <c r="G8" s="5771" t="s">
        <v>28</v>
      </c>
      <c r="H8" s="5771" t="s">
        <v>28</v>
      </c>
      <c r="I8" s="5771" t="s">
        <v>919</v>
      </c>
    </row>
    <row customHeight="1" ht="11.25">
      <c r="A9" s="5771" t="s">
        <v>2364</v>
      </c>
      <c r="B9" s="5771" t="s">
        <v>16</v>
      </c>
      <c r="C9" s="5771" t="s">
        <v>2390</v>
      </c>
      <c r="D9" s="5771" t="s">
        <v>2391</v>
      </c>
      <c r="E9" s="5771" t="s">
        <v>2382</v>
      </c>
      <c r="F9" s="5771" t="s">
        <v>2392</v>
      </c>
      <c r="G9" s="5771" t="s">
        <v>28</v>
      </c>
      <c r="H9" s="5771" t="s">
        <v>28</v>
      </c>
      <c r="I9" s="5771" t="s">
        <v>919</v>
      </c>
    </row>
    <row customHeight="1" ht="11.25">
      <c r="A10" s="5771" t="s">
        <v>2364</v>
      </c>
      <c r="B10" s="5771" t="s">
        <v>16</v>
      </c>
      <c r="C10" s="5771" t="s">
        <v>2393</v>
      </c>
      <c r="D10" s="5771" t="s">
        <v>2394</v>
      </c>
      <c r="E10" s="5771" t="s">
        <v>2395</v>
      </c>
      <c r="F10" s="5771" t="s">
        <v>2396</v>
      </c>
      <c r="G10" s="5771" t="s">
        <v>28</v>
      </c>
      <c r="H10" s="5771" t="s">
        <v>28</v>
      </c>
      <c r="I10" s="5771" t="s">
        <v>919</v>
      </c>
    </row>
    <row customHeight="1" ht="11.25">
      <c r="A11" s="5771" t="s">
        <v>2364</v>
      </c>
      <c r="B11" s="5771" t="s">
        <v>16</v>
      </c>
      <c r="C11" s="5771" t="s">
        <v>2397</v>
      </c>
      <c r="D11" s="5771" t="s">
        <v>2398</v>
      </c>
      <c r="E11" s="5771" t="s">
        <v>2399</v>
      </c>
      <c r="F11" s="5771" t="s">
        <v>2400</v>
      </c>
      <c r="G11" s="5771" t="s">
        <v>28</v>
      </c>
      <c r="H11" s="5771" t="s">
        <v>28</v>
      </c>
      <c r="I11" s="5771" t="s">
        <v>919</v>
      </c>
    </row>
    <row customHeight="1" ht="11.25">
      <c r="A12" s="5771" t="s">
        <v>2364</v>
      </c>
      <c r="B12" s="5771" t="s">
        <v>16</v>
      </c>
      <c r="C12" s="5771" t="s">
        <v>2401</v>
      </c>
      <c r="D12" s="5771" t="s">
        <v>2402</v>
      </c>
      <c r="E12" s="5771" t="s">
        <v>2403</v>
      </c>
      <c r="F12" s="5771" t="s">
        <v>2404</v>
      </c>
      <c r="G12" s="5771" t="s">
        <v>28</v>
      </c>
      <c r="H12" s="5771" t="s">
        <v>28</v>
      </c>
      <c r="I12" s="5771" t="s">
        <v>919</v>
      </c>
    </row>
    <row customHeight="1" ht="11.25">
      <c r="A13" s="5771" t="s">
        <v>2364</v>
      </c>
      <c r="B13" s="5771" t="s">
        <v>16</v>
      </c>
      <c r="C13" s="5771" t="s">
        <v>2405</v>
      </c>
      <c r="D13" s="5771" t="s">
        <v>2406</v>
      </c>
      <c r="E13" s="5771" t="s">
        <v>2407</v>
      </c>
      <c r="F13" s="5771" t="s">
        <v>2408</v>
      </c>
      <c r="G13" s="5771" t="s">
        <v>2409</v>
      </c>
      <c r="H13" s="5771" t="s">
        <v>28</v>
      </c>
      <c r="I13" s="5771" t="s">
        <v>919</v>
      </c>
    </row>
    <row customHeight="1" ht="11.25">
      <c r="A14" s="5771" t="s">
        <v>2364</v>
      </c>
      <c r="B14" s="5771" t="s">
        <v>16</v>
      </c>
      <c r="C14" s="5771" t="s">
        <v>2410</v>
      </c>
      <c r="D14" s="5771" t="s">
        <v>2411</v>
      </c>
      <c r="E14" s="5771" t="s">
        <v>2412</v>
      </c>
      <c r="F14" s="5771" t="s">
        <v>2375</v>
      </c>
      <c r="G14" s="5771" t="s">
        <v>28</v>
      </c>
      <c r="H14" s="5771" t="s">
        <v>28</v>
      </c>
      <c r="I14" s="5771" t="s">
        <v>919</v>
      </c>
    </row>
    <row customHeight="1" ht="11.25">
      <c r="A15" s="5771" t="s">
        <v>2364</v>
      </c>
      <c r="B15" s="5771" t="s">
        <v>16</v>
      </c>
      <c r="C15" s="5771" t="s">
        <v>2413</v>
      </c>
      <c r="D15" s="5771" t="s">
        <v>2414</v>
      </c>
      <c r="E15" s="5771" t="s">
        <v>2415</v>
      </c>
      <c r="F15" s="5771" t="s">
        <v>2416</v>
      </c>
      <c r="G15" s="5771" t="s">
        <v>28</v>
      </c>
      <c r="H15" s="5771" t="s">
        <v>28</v>
      </c>
      <c r="I15" s="5771" t="s">
        <v>919</v>
      </c>
    </row>
    <row customHeight="1" ht="11.25">
      <c r="A16" s="5771" t="s">
        <v>2364</v>
      </c>
      <c r="B16" s="5771" t="s">
        <v>16</v>
      </c>
      <c r="C16" s="5771" t="s">
        <v>2417</v>
      </c>
      <c r="D16" s="5771" t="s">
        <v>2418</v>
      </c>
      <c r="E16" s="5771" t="s">
        <v>2419</v>
      </c>
      <c r="F16" s="5771" t="s">
        <v>2420</v>
      </c>
      <c r="G16" s="5771" t="s">
        <v>2421</v>
      </c>
      <c r="H16" s="5771" t="s">
        <v>28</v>
      </c>
      <c r="I16" s="5771" t="s">
        <v>919</v>
      </c>
    </row>
    <row customHeight="1" ht="11.25">
      <c r="A17" s="5771" t="s">
        <v>2364</v>
      </c>
      <c r="B17" s="5771" t="s">
        <v>16</v>
      </c>
      <c r="C17" s="5771" t="s">
        <v>2422</v>
      </c>
      <c r="D17" s="5771" t="s">
        <v>2423</v>
      </c>
      <c r="E17" s="5771" t="s">
        <v>2424</v>
      </c>
      <c r="F17" s="5771" t="s">
        <v>2425</v>
      </c>
      <c r="G17" s="5771" t="s">
        <v>2426</v>
      </c>
      <c r="H17" s="5771" t="s">
        <v>28</v>
      </c>
      <c r="I17" s="5771" t="s">
        <v>919</v>
      </c>
    </row>
    <row customHeight="1" ht="11.25">
      <c r="A18" s="5771" t="s">
        <v>2364</v>
      </c>
      <c r="B18" s="5771" t="s">
        <v>16</v>
      </c>
      <c r="C18" s="5771" t="s">
        <v>2427</v>
      </c>
      <c r="D18" s="5771" t="s">
        <v>2428</v>
      </c>
      <c r="E18" s="5771" t="s">
        <v>2429</v>
      </c>
      <c r="F18" s="5771" t="s">
        <v>2396</v>
      </c>
      <c r="G18" s="5771" t="s">
        <v>28</v>
      </c>
      <c r="H18" s="5771" t="s">
        <v>28</v>
      </c>
      <c r="I18" s="5771" t="s">
        <v>919</v>
      </c>
    </row>
    <row customHeight="1" ht="11.25">
      <c r="A19" s="5771" t="s">
        <v>2364</v>
      </c>
      <c r="B19" s="5771" t="s">
        <v>16</v>
      </c>
      <c r="C19" s="5771" t="s">
        <v>2430</v>
      </c>
      <c r="D19" s="5771" t="s">
        <v>2431</v>
      </c>
      <c r="E19" s="5771" t="s">
        <v>2432</v>
      </c>
      <c r="F19" s="5771" t="s">
        <v>2433</v>
      </c>
      <c r="G19" s="5771" t="s">
        <v>28</v>
      </c>
      <c r="H19" s="5771" t="s">
        <v>28</v>
      </c>
      <c r="I19" s="5771" t="s">
        <v>919</v>
      </c>
    </row>
    <row customHeight="1" ht="11.25">
      <c r="A20" s="5771" t="s">
        <v>2364</v>
      </c>
      <c r="B20" s="5771" t="s">
        <v>16</v>
      </c>
      <c r="C20" s="5771" t="s">
        <v>2434</v>
      </c>
      <c r="D20" s="5771" t="s">
        <v>2435</v>
      </c>
      <c r="E20" s="5771" t="s">
        <v>2436</v>
      </c>
      <c r="F20" s="5771" t="s">
        <v>2404</v>
      </c>
      <c r="G20" s="5771" t="s">
        <v>2437</v>
      </c>
      <c r="H20" s="5771" t="s">
        <v>28</v>
      </c>
      <c r="I20" s="5771" t="s">
        <v>919</v>
      </c>
    </row>
    <row customHeight="1" ht="11.25">
      <c r="A21" s="5771" t="s">
        <v>2364</v>
      </c>
      <c r="B21" s="5771" t="s">
        <v>16</v>
      </c>
      <c r="C21" s="5771" t="s">
        <v>2438</v>
      </c>
      <c r="D21" s="5771" t="s">
        <v>2439</v>
      </c>
      <c r="E21" s="5771" t="s">
        <v>2440</v>
      </c>
      <c r="F21" s="5771" t="s">
        <v>2441</v>
      </c>
      <c r="G21" s="5771" t="s">
        <v>28</v>
      </c>
      <c r="H21" s="5771" t="s">
        <v>28</v>
      </c>
      <c r="I21" s="5771" t="s">
        <v>919</v>
      </c>
    </row>
    <row customHeight="1" ht="11.25">
      <c r="A22" s="5771" t="s">
        <v>2364</v>
      </c>
      <c r="B22" s="5771" t="s">
        <v>16</v>
      </c>
      <c r="C22" s="5771" t="s">
        <v>2442</v>
      </c>
      <c r="D22" s="5771" t="s">
        <v>2443</v>
      </c>
      <c r="E22" s="5771" t="s">
        <v>2444</v>
      </c>
      <c r="F22" s="5771" t="s">
        <v>2367</v>
      </c>
      <c r="G22" s="5771" t="s">
        <v>2445</v>
      </c>
      <c r="H22" s="5771" t="s">
        <v>28</v>
      </c>
      <c r="I22" s="5771" t="s">
        <v>919</v>
      </c>
    </row>
    <row customHeight="1" ht="11.25">
      <c r="A23" s="5771" t="s">
        <v>2364</v>
      </c>
      <c r="B23" s="5771" t="s">
        <v>16</v>
      </c>
      <c r="C23" s="5771" t="s">
        <v>2446</v>
      </c>
      <c r="D23" s="5771" t="s">
        <v>2447</v>
      </c>
      <c r="E23" s="5771" t="s">
        <v>2448</v>
      </c>
      <c r="F23" s="5771" t="s">
        <v>2449</v>
      </c>
      <c r="G23" s="5771" t="s">
        <v>28</v>
      </c>
      <c r="H23" s="5771" t="s">
        <v>28</v>
      </c>
      <c r="I23" s="5771" t="s">
        <v>919</v>
      </c>
    </row>
    <row customHeight="1" ht="11.25">
      <c r="A24" s="5771" t="s">
        <v>2364</v>
      </c>
      <c r="B24" s="5771" t="s">
        <v>16</v>
      </c>
      <c r="C24" s="5771" t="s">
        <v>2450</v>
      </c>
      <c r="D24" s="5771" t="s">
        <v>2451</v>
      </c>
      <c r="E24" s="5771" t="s">
        <v>2452</v>
      </c>
      <c r="F24" s="5771" t="s">
        <v>2404</v>
      </c>
      <c r="G24" s="5771" t="s">
        <v>28</v>
      </c>
      <c r="H24" s="5771" t="s">
        <v>28</v>
      </c>
      <c r="I24" s="5771" t="s">
        <v>919</v>
      </c>
    </row>
    <row customHeight="1" ht="11.25">
      <c r="A25" s="5771" t="s">
        <v>2364</v>
      </c>
      <c r="B25" s="5771" t="s">
        <v>16</v>
      </c>
      <c r="C25" s="5771" t="s">
        <v>2453</v>
      </c>
      <c r="D25" s="5771" t="s">
        <v>2454</v>
      </c>
      <c r="E25" s="5771" t="s">
        <v>2455</v>
      </c>
      <c r="F25" s="5771" t="s">
        <v>2367</v>
      </c>
      <c r="G25" s="5771" t="s">
        <v>28</v>
      </c>
      <c r="H25" s="5771" t="s">
        <v>28</v>
      </c>
      <c r="I25" s="5771" t="s">
        <v>919</v>
      </c>
    </row>
    <row customHeight="1" ht="11.25">
      <c r="A26" s="5771" t="s">
        <v>2364</v>
      </c>
      <c r="B26" s="5771" t="s">
        <v>16</v>
      </c>
      <c r="C26" s="5771" t="s">
        <v>2456</v>
      </c>
      <c r="D26" s="5771" t="s">
        <v>2457</v>
      </c>
      <c r="E26" s="5771" t="s">
        <v>2458</v>
      </c>
      <c r="F26" s="5771" t="s">
        <v>2459</v>
      </c>
      <c r="G26" s="5771" t="s">
        <v>28</v>
      </c>
      <c r="H26" s="5771" t="s">
        <v>28</v>
      </c>
      <c r="I26" s="5771" t="s">
        <v>919</v>
      </c>
    </row>
    <row customHeight="1" ht="11.25">
      <c r="A27" s="5771" t="s">
        <v>2364</v>
      </c>
      <c r="B27" s="5771" t="s">
        <v>16</v>
      </c>
      <c r="C27" s="5771" t="s">
        <v>2460</v>
      </c>
      <c r="D27" s="5771" t="s">
        <v>2461</v>
      </c>
      <c r="E27" s="5771" t="s">
        <v>2462</v>
      </c>
      <c r="F27" s="5771" t="s">
        <v>2463</v>
      </c>
      <c r="G27" s="5771" t="s">
        <v>28</v>
      </c>
      <c r="H27" s="5771" t="s">
        <v>28</v>
      </c>
      <c r="I27" s="5771" t="s">
        <v>919</v>
      </c>
    </row>
    <row customHeight="1" ht="11.25">
      <c r="A28" s="5771" t="s">
        <v>2364</v>
      </c>
      <c r="B28" s="5771" t="s">
        <v>16</v>
      </c>
      <c r="C28" s="5771" t="s">
        <v>2464</v>
      </c>
      <c r="D28" s="5771" t="s">
        <v>2465</v>
      </c>
      <c r="E28" s="5771" t="s">
        <v>2462</v>
      </c>
      <c r="F28" s="5771" t="s">
        <v>2466</v>
      </c>
      <c r="G28" s="5771" t="s">
        <v>28</v>
      </c>
      <c r="H28" s="5771" t="s">
        <v>28</v>
      </c>
      <c r="I28" s="5771" t="s">
        <v>919</v>
      </c>
    </row>
    <row customHeight="1" ht="11.25">
      <c r="A29" s="5771" t="s">
        <v>2364</v>
      </c>
      <c r="B29" s="5771" t="s">
        <v>16</v>
      </c>
      <c r="C29" s="5771" t="s">
        <v>2467</v>
      </c>
      <c r="D29" s="5771" t="s">
        <v>2468</v>
      </c>
      <c r="E29" s="5771" t="s">
        <v>2469</v>
      </c>
      <c r="F29" s="5771" t="s">
        <v>2470</v>
      </c>
      <c r="G29" s="5771" t="s">
        <v>28</v>
      </c>
      <c r="H29" s="5771" t="s">
        <v>28</v>
      </c>
      <c r="I29" s="5771" t="s">
        <v>919</v>
      </c>
    </row>
    <row customHeight="1" ht="11.25">
      <c r="A30" s="5771" t="s">
        <v>2364</v>
      </c>
      <c r="B30" s="5771" t="s">
        <v>16</v>
      </c>
      <c r="C30" s="5771" t="s">
        <v>2471</v>
      </c>
      <c r="D30" s="5771" t="s">
        <v>2472</v>
      </c>
      <c r="E30" s="5771" t="s">
        <v>2473</v>
      </c>
      <c r="F30" s="5771" t="s">
        <v>2433</v>
      </c>
      <c r="G30" s="5771" t="s">
        <v>2474</v>
      </c>
      <c r="H30" s="5771" t="s">
        <v>28</v>
      </c>
      <c r="I30" s="5771" t="s">
        <v>919</v>
      </c>
    </row>
    <row customHeight="1" ht="11.25">
      <c r="A31" s="5771" t="s">
        <v>2364</v>
      </c>
      <c r="B31" s="5771" t="s">
        <v>16</v>
      </c>
      <c r="C31" s="5771" t="s">
        <v>2475</v>
      </c>
      <c r="D31" s="5771" t="s">
        <v>2476</v>
      </c>
      <c r="E31" s="5771" t="s">
        <v>2477</v>
      </c>
      <c r="F31" s="5771" t="s">
        <v>2416</v>
      </c>
      <c r="G31" s="5771" t="s">
        <v>28</v>
      </c>
      <c r="H31" s="5771" t="s">
        <v>28</v>
      </c>
      <c r="I31" s="5771" t="s">
        <v>919</v>
      </c>
    </row>
    <row customHeight="1" ht="11.25">
      <c r="A32" s="5771" t="s">
        <v>2364</v>
      </c>
      <c r="B32" s="5771" t="s">
        <v>16</v>
      </c>
      <c r="C32" s="5771" t="s">
        <v>2478</v>
      </c>
      <c r="D32" s="5771" t="s">
        <v>2479</v>
      </c>
      <c r="E32" s="5771" t="s">
        <v>2480</v>
      </c>
      <c r="F32" s="5771" t="s">
        <v>2404</v>
      </c>
      <c r="G32" s="5771" t="s">
        <v>28</v>
      </c>
      <c r="H32" s="5771" t="s">
        <v>28</v>
      </c>
      <c r="I32" s="5771" t="s">
        <v>919</v>
      </c>
    </row>
    <row customHeight="1" ht="11.25">
      <c r="A33" s="5771" t="s">
        <v>2364</v>
      </c>
      <c r="B33" s="5771" t="s">
        <v>16</v>
      </c>
      <c r="C33" s="5771" t="s">
        <v>2481</v>
      </c>
      <c r="D33" s="5771" t="s">
        <v>2482</v>
      </c>
      <c r="E33" s="5771" t="s">
        <v>2483</v>
      </c>
      <c r="F33" s="5771" t="s">
        <v>687</v>
      </c>
      <c r="G33" s="5771" t="s">
        <v>2484</v>
      </c>
      <c r="H33" s="5771" t="s">
        <v>28</v>
      </c>
      <c r="I33" s="5771" t="s">
        <v>919</v>
      </c>
    </row>
    <row customHeight="1" ht="11.25">
      <c r="A34" s="5771" t="s">
        <v>2364</v>
      </c>
      <c r="B34" s="5771" t="s">
        <v>16</v>
      </c>
      <c r="C34" s="5771" t="s">
        <v>2485</v>
      </c>
      <c r="D34" s="5771" t="s">
        <v>2486</v>
      </c>
      <c r="E34" s="5771" t="s">
        <v>2487</v>
      </c>
      <c r="F34" s="5771" t="s">
        <v>2404</v>
      </c>
      <c r="G34" s="5771" t="s">
        <v>28</v>
      </c>
      <c r="H34" s="5771" t="s">
        <v>28</v>
      </c>
      <c r="I34" s="5771" t="s">
        <v>919</v>
      </c>
    </row>
    <row customHeight="1" ht="11.25">
      <c r="A35" s="5771" t="s">
        <v>2364</v>
      </c>
      <c r="B35" s="5771" t="s">
        <v>16</v>
      </c>
      <c r="C35" s="5771" t="s">
        <v>2488</v>
      </c>
      <c r="D35" s="5771" t="s">
        <v>2489</v>
      </c>
      <c r="E35" s="5771" t="s">
        <v>2490</v>
      </c>
      <c r="F35" s="5771" t="s">
        <v>2491</v>
      </c>
      <c r="G35" s="5771" t="s">
        <v>2492</v>
      </c>
      <c r="H35" s="5771" t="s">
        <v>28</v>
      </c>
      <c r="I35" s="5771" t="s">
        <v>919</v>
      </c>
    </row>
    <row customHeight="1" ht="11.25">
      <c r="A36" s="5771" t="s">
        <v>2364</v>
      </c>
      <c r="B36" s="5771" t="s">
        <v>16</v>
      </c>
      <c r="C36" s="5771" t="s">
        <v>2493</v>
      </c>
      <c r="D36" s="5771" t="s">
        <v>2494</v>
      </c>
      <c r="E36" s="5771" t="s">
        <v>2495</v>
      </c>
      <c r="F36" s="5771" t="s">
        <v>2470</v>
      </c>
      <c r="G36" s="5771" t="s">
        <v>28</v>
      </c>
      <c r="H36" s="5771" t="s">
        <v>28</v>
      </c>
      <c r="I36" s="5771" t="s">
        <v>919</v>
      </c>
    </row>
    <row customHeight="1" ht="11.25">
      <c r="A37" s="5771" t="s">
        <v>2364</v>
      </c>
      <c r="B37" s="5771" t="s">
        <v>16</v>
      </c>
      <c r="C37" s="5771" t="s">
        <v>2496</v>
      </c>
      <c r="D37" s="5771" t="s">
        <v>2497</v>
      </c>
      <c r="E37" s="5771" t="s">
        <v>2498</v>
      </c>
      <c r="F37" s="5771" t="s">
        <v>2499</v>
      </c>
      <c r="G37" s="5771" t="s">
        <v>28</v>
      </c>
      <c r="H37" s="5771" t="s">
        <v>28</v>
      </c>
      <c r="I37" s="5771" t="s">
        <v>919</v>
      </c>
    </row>
    <row customHeight="1" ht="11.25">
      <c r="A38" s="5771" t="s">
        <v>2364</v>
      </c>
      <c r="B38" s="5771" t="s">
        <v>16</v>
      </c>
      <c r="C38" s="5771" t="s">
        <v>2500</v>
      </c>
      <c r="D38" s="5771" t="s">
        <v>2501</v>
      </c>
      <c r="E38" s="5771" t="s">
        <v>2502</v>
      </c>
      <c r="F38" s="5771" t="s">
        <v>2470</v>
      </c>
      <c r="G38" s="5771" t="s">
        <v>28</v>
      </c>
      <c r="H38" s="5771" t="s">
        <v>28</v>
      </c>
      <c r="I38" s="5771" t="s">
        <v>919</v>
      </c>
    </row>
    <row customHeight="1" ht="11.25">
      <c r="A39" s="5771" t="s">
        <v>2364</v>
      </c>
      <c r="B39" s="5771" t="s">
        <v>16</v>
      </c>
      <c r="C39" s="5771" t="s">
        <v>2503</v>
      </c>
      <c r="D39" s="5771" t="s">
        <v>2504</v>
      </c>
      <c r="E39" s="5771" t="s">
        <v>2505</v>
      </c>
      <c r="F39" s="5771" t="s">
        <v>2404</v>
      </c>
      <c r="G39" s="5771" t="s">
        <v>28</v>
      </c>
      <c r="H39" s="5771" t="s">
        <v>28</v>
      </c>
      <c r="I39" s="5771" t="s">
        <v>919</v>
      </c>
    </row>
    <row customHeight="1" ht="11.25">
      <c r="A40" s="5771" t="s">
        <v>2364</v>
      </c>
      <c r="B40" s="5771" t="s">
        <v>16</v>
      </c>
      <c r="C40" s="5771" t="s">
        <v>2506</v>
      </c>
      <c r="D40" s="5771" t="s">
        <v>2507</v>
      </c>
      <c r="E40" s="5771" t="s">
        <v>2508</v>
      </c>
      <c r="F40" s="5771" t="s">
        <v>2509</v>
      </c>
      <c r="G40" s="5771" t="s">
        <v>28</v>
      </c>
      <c r="H40" s="5771" t="s">
        <v>28</v>
      </c>
      <c r="I40" s="5771" t="s">
        <v>919</v>
      </c>
    </row>
    <row customHeight="1" ht="11.25">
      <c r="A41" s="5771" t="s">
        <v>2364</v>
      </c>
      <c r="B41" s="5771" t="s">
        <v>16</v>
      </c>
      <c r="C41" s="5771" t="s">
        <v>2510</v>
      </c>
      <c r="D41" s="5771" t="s">
        <v>47</v>
      </c>
      <c r="E41" s="5771" t="s">
        <v>50</v>
      </c>
      <c r="F41" s="5771" t="s">
        <v>2509</v>
      </c>
      <c r="G41" s="5771" t="s">
        <v>28</v>
      </c>
      <c r="H41" s="5771" t="s">
        <v>28</v>
      </c>
      <c r="I41" s="5771" t="s">
        <v>919</v>
      </c>
    </row>
    <row customHeight="1" ht="11.25">
      <c r="A42" s="5771" t="s">
        <v>2364</v>
      </c>
      <c r="B42" s="5771" t="s">
        <v>16</v>
      </c>
      <c r="C42" s="5771" t="s">
        <v>2511</v>
      </c>
      <c r="D42" s="5771" t="s">
        <v>2512</v>
      </c>
      <c r="E42" s="5771" t="s">
        <v>2513</v>
      </c>
      <c r="F42" s="5771" t="s">
        <v>2375</v>
      </c>
      <c r="G42" s="5771" t="s">
        <v>2514</v>
      </c>
      <c r="H42" s="5771" t="s">
        <v>28</v>
      </c>
      <c r="I42" s="5771" t="s">
        <v>919</v>
      </c>
    </row>
    <row customHeight="1" ht="11.25">
      <c r="A43" s="5771" t="s">
        <v>2364</v>
      </c>
      <c r="B43" s="5771" t="s">
        <v>16</v>
      </c>
      <c r="C43" s="5771" t="s">
        <v>2515</v>
      </c>
      <c r="D43" s="5771" t="s">
        <v>2516</v>
      </c>
      <c r="E43" s="5771" t="s">
        <v>2517</v>
      </c>
      <c r="F43" s="5771" t="s">
        <v>2518</v>
      </c>
      <c r="G43" s="5771" t="s">
        <v>28</v>
      </c>
      <c r="H43" s="5771" t="s">
        <v>28</v>
      </c>
      <c r="I43" s="5771" t="s">
        <v>919</v>
      </c>
    </row>
    <row customHeight="1" ht="11.25">
      <c r="A44" s="5771" t="s">
        <v>2364</v>
      </c>
      <c r="B44" s="5771" t="s">
        <v>16</v>
      </c>
      <c r="C44" s="5771" t="s">
        <v>2519</v>
      </c>
      <c r="D44" s="5771" t="s">
        <v>2520</v>
      </c>
      <c r="E44" s="5771" t="s">
        <v>2521</v>
      </c>
      <c r="F44" s="5771" t="s">
        <v>2396</v>
      </c>
      <c r="G44" s="5771" t="s">
        <v>28</v>
      </c>
      <c r="H44" s="5771" t="s">
        <v>28</v>
      </c>
      <c r="I44" s="5771" t="s">
        <v>919</v>
      </c>
    </row>
    <row customHeight="1" ht="11.25">
      <c r="A45" s="5771" t="s">
        <v>2364</v>
      </c>
      <c r="B45" s="5771" t="s">
        <v>16</v>
      </c>
      <c r="C45" s="5771" t="s">
        <v>2522</v>
      </c>
      <c r="D45" s="5771" t="s">
        <v>2523</v>
      </c>
      <c r="E45" s="5771" t="s">
        <v>2524</v>
      </c>
      <c r="F45" s="5771" t="s">
        <v>2525</v>
      </c>
      <c r="G45" s="5771" t="s">
        <v>28</v>
      </c>
      <c r="H45" s="5771" t="s">
        <v>28</v>
      </c>
      <c r="I45" s="5771" t="s">
        <v>919</v>
      </c>
    </row>
    <row customHeight="1" ht="11.25">
      <c r="A46" s="5771" t="s">
        <v>2364</v>
      </c>
      <c r="B46" s="5771" t="s">
        <v>16</v>
      </c>
      <c r="C46" s="5771" t="s">
        <v>2526</v>
      </c>
      <c r="D46" s="5771" t="s">
        <v>2527</v>
      </c>
      <c r="E46" s="5771" t="s">
        <v>2528</v>
      </c>
      <c r="F46" s="5771" t="s">
        <v>2529</v>
      </c>
      <c r="G46" s="5771" t="s">
        <v>28</v>
      </c>
      <c r="H46" s="5771" t="s">
        <v>28</v>
      </c>
      <c r="I46" s="5771" t="s">
        <v>919</v>
      </c>
    </row>
    <row customHeight="1" ht="11.25">
      <c r="A47" s="5771" t="s">
        <v>2364</v>
      </c>
      <c r="B47" s="5771" t="s">
        <v>16</v>
      </c>
      <c r="C47" s="5771" t="s">
        <v>2530</v>
      </c>
      <c r="D47" s="5771" t="s">
        <v>2531</v>
      </c>
      <c r="E47" s="5771" t="s">
        <v>2532</v>
      </c>
      <c r="F47" s="5771" t="s">
        <v>2529</v>
      </c>
      <c r="G47" s="5771" t="s">
        <v>28</v>
      </c>
      <c r="H47" s="5771" t="s">
        <v>28</v>
      </c>
      <c r="I47" s="5771" t="s">
        <v>919</v>
      </c>
    </row>
    <row customHeight="1" ht="11.25">
      <c r="A48" s="5771" t="s">
        <v>2364</v>
      </c>
      <c r="B48" s="5771" t="s">
        <v>16</v>
      </c>
      <c r="C48" s="5771" t="s">
        <v>2533</v>
      </c>
      <c r="D48" s="5771" t="s">
        <v>2534</v>
      </c>
      <c r="E48" s="5771" t="s">
        <v>2535</v>
      </c>
      <c r="F48" s="5771" t="s">
        <v>2536</v>
      </c>
      <c r="G48" s="5771" t="s">
        <v>28</v>
      </c>
      <c r="H48" s="5771" t="s">
        <v>28</v>
      </c>
      <c r="I48" s="5771" t="s">
        <v>919</v>
      </c>
    </row>
    <row customHeight="1" ht="11.25">
      <c r="A49" s="5771" t="s">
        <v>2364</v>
      </c>
      <c r="B49" s="5771" t="s">
        <v>16</v>
      </c>
      <c r="C49" s="5771" t="s">
        <v>2537</v>
      </c>
      <c r="D49" s="5771" t="s">
        <v>2538</v>
      </c>
      <c r="E49" s="5771" t="s">
        <v>2539</v>
      </c>
      <c r="F49" s="5771" t="s">
        <v>2404</v>
      </c>
      <c r="G49" s="5771" t="s">
        <v>28</v>
      </c>
      <c r="H49" s="5771" t="s">
        <v>28</v>
      </c>
      <c r="I49" s="5771" t="s">
        <v>919</v>
      </c>
    </row>
    <row customHeight="1" ht="11.25">
      <c r="A50" s="5771" t="s">
        <v>2364</v>
      </c>
      <c r="B50" s="5771" t="s">
        <v>16</v>
      </c>
      <c r="C50" s="5771" t="s">
        <v>2540</v>
      </c>
      <c r="D50" s="5771" t="s">
        <v>2541</v>
      </c>
      <c r="E50" s="5771" t="s">
        <v>2542</v>
      </c>
      <c r="F50" s="5771" t="s">
        <v>2525</v>
      </c>
      <c r="G50" s="5771" t="s">
        <v>28</v>
      </c>
      <c r="H50" s="5771" t="s">
        <v>28</v>
      </c>
      <c r="I50" s="5771" t="s">
        <v>919</v>
      </c>
    </row>
    <row customHeight="1" ht="11.25">
      <c r="A51" s="5771" t="s">
        <v>2364</v>
      </c>
      <c r="B51" s="5771" t="s">
        <v>16</v>
      </c>
      <c r="C51" s="5771" t="s">
        <v>2543</v>
      </c>
      <c r="D51" s="5771" t="s">
        <v>2544</v>
      </c>
      <c r="E51" s="5771" t="s">
        <v>2545</v>
      </c>
      <c r="F51" s="5771" t="s">
        <v>2546</v>
      </c>
      <c r="G51" s="5771" t="s">
        <v>28</v>
      </c>
      <c r="H51" s="5771" t="s">
        <v>28</v>
      </c>
      <c r="I51" s="5771" t="s">
        <v>919</v>
      </c>
    </row>
    <row customHeight="1" ht="11.25">
      <c r="A52" s="5771" t="s">
        <v>2364</v>
      </c>
      <c r="B52" s="5771" t="s">
        <v>16</v>
      </c>
      <c r="C52" s="5771" t="s">
        <v>2547</v>
      </c>
      <c r="D52" s="5771" t="s">
        <v>2548</v>
      </c>
      <c r="E52" s="5771" t="s">
        <v>2549</v>
      </c>
      <c r="F52" s="5771" t="s">
        <v>2509</v>
      </c>
      <c r="G52" s="5771" t="s">
        <v>28</v>
      </c>
      <c r="H52" s="5771" t="s">
        <v>28</v>
      </c>
      <c r="I52" s="5771" t="s">
        <v>919</v>
      </c>
    </row>
    <row customHeight="1" ht="11.25">
      <c r="A53" s="5771" t="s">
        <v>2364</v>
      </c>
      <c r="B53" s="5771" t="s">
        <v>16</v>
      </c>
      <c r="C53" s="5771" t="s">
        <v>2550</v>
      </c>
      <c r="D53" s="5771" t="s">
        <v>2551</v>
      </c>
      <c r="E53" s="5771" t="s">
        <v>2552</v>
      </c>
      <c r="F53" s="5771" t="s">
        <v>2553</v>
      </c>
      <c r="G53" s="5771" t="s">
        <v>28</v>
      </c>
      <c r="H53" s="5771" t="s">
        <v>28</v>
      </c>
      <c r="I53" s="5771" t="s">
        <v>919</v>
      </c>
    </row>
    <row customHeight="1" ht="11.25">
      <c r="A54" s="5771" t="s">
        <v>2364</v>
      </c>
      <c r="B54" s="5771" t="s">
        <v>16</v>
      </c>
      <c r="C54" s="5771" t="s">
        <v>2554</v>
      </c>
      <c r="D54" s="5771" t="s">
        <v>2555</v>
      </c>
      <c r="E54" s="5771" t="s">
        <v>2556</v>
      </c>
      <c r="F54" s="5771" t="s">
        <v>2416</v>
      </c>
      <c r="G54" s="5771" t="s">
        <v>28</v>
      </c>
      <c r="H54" s="5771" t="s">
        <v>28</v>
      </c>
      <c r="I54" s="5771" t="s">
        <v>919</v>
      </c>
    </row>
    <row customHeight="1" ht="11.25">
      <c r="A55" s="5771" t="s">
        <v>2364</v>
      </c>
      <c r="B55" s="5771" t="s">
        <v>16</v>
      </c>
      <c r="C55" s="5771" t="s">
        <v>2557</v>
      </c>
      <c r="D55" s="5771" t="s">
        <v>2558</v>
      </c>
      <c r="E55" s="5771" t="s">
        <v>2559</v>
      </c>
      <c r="F55" s="5771" t="s">
        <v>2560</v>
      </c>
      <c r="G55" s="5771" t="s">
        <v>28</v>
      </c>
      <c r="H55" s="5771" t="s">
        <v>28</v>
      </c>
      <c r="I55" s="5771" t="s">
        <v>919</v>
      </c>
    </row>
    <row customHeight="1" ht="11.25">
      <c r="A56" s="5771" t="s">
        <v>2364</v>
      </c>
      <c r="B56" s="5771" t="s">
        <v>16</v>
      </c>
      <c r="C56" s="5771" t="s">
        <v>2561</v>
      </c>
      <c r="D56" s="5771" t="s">
        <v>2562</v>
      </c>
      <c r="E56" s="5771" t="s">
        <v>2382</v>
      </c>
      <c r="F56" s="5771" t="s">
        <v>2563</v>
      </c>
      <c r="G56" s="5771" t="s">
        <v>28</v>
      </c>
      <c r="H56" s="5771" t="s">
        <v>28</v>
      </c>
      <c r="I56" s="5771" t="s">
        <v>919</v>
      </c>
    </row>
    <row customHeight="1" ht="11.25">
      <c r="A57" s="5771" t="s">
        <v>2364</v>
      </c>
      <c r="B57" s="5771" t="s">
        <v>16</v>
      </c>
      <c r="C57" s="5771" t="s">
        <v>2564</v>
      </c>
      <c r="D57" s="5771" t="s">
        <v>2565</v>
      </c>
      <c r="E57" s="5771" t="s">
        <v>2566</v>
      </c>
      <c r="F57" s="5771" t="s">
        <v>2567</v>
      </c>
      <c r="G57" s="5771" t="s">
        <v>28</v>
      </c>
      <c r="H57" s="5771" t="s">
        <v>28</v>
      </c>
      <c r="I57" s="5771" t="s">
        <v>919</v>
      </c>
    </row>
    <row customHeight="1" ht="11.25">
      <c r="A58" s="5771" t="s">
        <v>2364</v>
      </c>
      <c r="B58" s="5771" t="s">
        <v>16</v>
      </c>
      <c r="C58" s="5771" t="s">
        <v>2568</v>
      </c>
      <c r="D58" s="5771" t="s">
        <v>2569</v>
      </c>
      <c r="E58" s="5771" t="s">
        <v>2570</v>
      </c>
      <c r="F58" s="5771" t="s">
        <v>2567</v>
      </c>
      <c r="G58" s="5771" t="s">
        <v>28</v>
      </c>
      <c r="H58" s="5771" t="s">
        <v>28</v>
      </c>
      <c r="I58" s="5771" t="s">
        <v>919</v>
      </c>
    </row>
    <row customHeight="1" ht="11.25">
      <c r="A59" s="5771" t="s">
        <v>2364</v>
      </c>
      <c r="B59" s="5771" t="s">
        <v>16</v>
      </c>
      <c r="C59" s="5771" t="s">
        <v>2571</v>
      </c>
      <c r="D59" s="5771" t="s">
        <v>2572</v>
      </c>
      <c r="E59" s="5771" t="s">
        <v>2573</v>
      </c>
      <c r="F59" s="5771" t="s">
        <v>2529</v>
      </c>
      <c r="G59" s="5771" t="s">
        <v>28</v>
      </c>
      <c r="H59" s="5771" t="s">
        <v>28</v>
      </c>
      <c r="I59" s="5771" t="s">
        <v>919</v>
      </c>
    </row>
    <row customHeight="1" ht="11.25">
      <c r="A60" s="5771" t="s">
        <v>2364</v>
      </c>
      <c r="B60" s="5771" t="s">
        <v>16</v>
      </c>
      <c r="C60" s="5771" t="s">
        <v>2574</v>
      </c>
      <c r="D60" s="5771" t="s">
        <v>2575</v>
      </c>
      <c r="E60" s="5771" t="s">
        <v>2576</v>
      </c>
      <c r="F60" s="5771" t="s">
        <v>2404</v>
      </c>
      <c r="G60" s="5771" t="s">
        <v>28</v>
      </c>
      <c r="H60" s="5771" t="s">
        <v>28</v>
      </c>
      <c r="I60" s="5771" t="s">
        <v>919</v>
      </c>
    </row>
    <row customHeight="1" ht="11.25">
      <c r="A61" s="5771" t="s">
        <v>2364</v>
      </c>
      <c r="B61" s="5771" t="s">
        <v>16</v>
      </c>
      <c r="C61" s="5771" t="s">
        <v>2577</v>
      </c>
      <c r="D61" s="5771" t="s">
        <v>2578</v>
      </c>
      <c r="E61" s="5771" t="s">
        <v>2462</v>
      </c>
      <c r="F61" s="5771" t="s">
        <v>2579</v>
      </c>
      <c r="G61" s="5771" t="s">
        <v>28</v>
      </c>
      <c r="H61" s="5771" t="s">
        <v>28</v>
      </c>
      <c r="I61" s="5771" t="s">
        <v>919</v>
      </c>
    </row>
    <row customHeight="1" ht="11.25">
      <c r="A62" s="5771" t="s">
        <v>2364</v>
      </c>
      <c r="B62" s="5771" t="s">
        <v>16</v>
      </c>
      <c r="C62" s="5771" t="s">
        <v>2580</v>
      </c>
      <c r="D62" s="5771" t="s">
        <v>2581</v>
      </c>
      <c r="E62" s="5771" t="s">
        <v>2582</v>
      </c>
      <c r="F62" s="5771" t="s">
        <v>2529</v>
      </c>
      <c r="G62" s="5771" t="s">
        <v>28</v>
      </c>
      <c r="H62" s="5771" t="s">
        <v>28</v>
      </c>
      <c r="I62" s="5771" t="s">
        <v>919</v>
      </c>
    </row>
    <row customHeight="1" ht="11.25">
      <c r="A63" s="5771" t="s">
        <v>2364</v>
      </c>
      <c r="B63" s="5771" t="s">
        <v>16</v>
      </c>
      <c r="C63" s="5771" t="s">
        <v>2583</v>
      </c>
      <c r="D63" s="5771" t="s">
        <v>2584</v>
      </c>
      <c r="E63" s="5771" t="s">
        <v>2585</v>
      </c>
      <c r="F63" s="5771" t="s">
        <v>2385</v>
      </c>
      <c r="G63" s="5771" t="s">
        <v>28</v>
      </c>
      <c r="H63" s="5771" t="s">
        <v>28</v>
      </c>
      <c r="I63" s="5771" t="s">
        <v>919</v>
      </c>
    </row>
    <row customHeight="1" ht="11.25">
      <c r="A64" s="5771" t="s">
        <v>2364</v>
      </c>
      <c r="B64" s="5771" t="s">
        <v>16</v>
      </c>
      <c r="C64" s="5771" t="s">
        <v>2586</v>
      </c>
      <c r="D64" s="5771" t="s">
        <v>2587</v>
      </c>
      <c r="E64" s="5771" t="s">
        <v>2588</v>
      </c>
      <c r="F64" s="5771" t="s">
        <v>2416</v>
      </c>
      <c r="G64" s="5771" t="s">
        <v>28</v>
      </c>
      <c r="H64" s="5771" t="s">
        <v>28</v>
      </c>
      <c r="I64" s="5771" t="s">
        <v>919</v>
      </c>
    </row>
    <row customHeight="1" ht="11.25">
      <c r="A65" s="5771" t="s">
        <v>2364</v>
      </c>
      <c r="B65" s="5771" t="s">
        <v>16</v>
      </c>
      <c r="C65" s="5771" t="s">
        <v>2589</v>
      </c>
      <c r="D65" s="5771" t="s">
        <v>2590</v>
      </c>
      <c r="E65" s="5771" t="s">
        <v>2591</v>
      </c>
      <c r="F65" s="5771" t="s">
        <v>2371</v>
      </c>
      <c r="G65" s="5771" t="s">
        <v>28</v>
      </c>
      <c r="H65" s="5771" t="s">
        <v>28</v>
      </c>
      <c r="I65" s="5771" t="s">
        <v>919</v>
      </c>
    </row>
    <row customHeight="1" ht="11.25">
      <c r="A66" s="5771" t="s">
        <v>2364</v>
      </c>
      <c r="B66" s="5771" t="s">
        <v>16</v>
      </c>
      <c r="C66" s="5771" t="s">
        <v>2592</v>
      </c>
      <c r="D66" s="5771" t="s">
        <v>2593</v>
      </c>
      <c r="E66" s="5771" t="s">
        <v>2594</v>
      </c>
      <c r="F66" s="5771" t="s">
        <v>2509</v>
      </c>
      <c r="G66" s="5771" t="s">
        <v>28</v>
      </c>
      <c r="H66" s="5771" t="s">
        <v>28</v>
      </c>
      <c r="I66" s="5771" t="s">
        <v>919</v>
      </c>
    </row>
    <row customHeight="1" ht="11.25">
      <c r="A67" s="5771" t="s">
        <v>2364</v>
      </c>
      <c r="B67" s="5771" t="s">
        <v>16</v>
      </c>
      <c r="C67" s="5771" t="s">
        <v>2595</v>
      </c>
      <c r="D67" s="5771" t="s">
        <v>2596</v>
      </c>
      <c r="E67" s="5771" t="s">
        <v>2597</v>
      </c>
      <c r="F67" s="5771" t="s">
        <v>2598</v>
      </c>
      <c r="G67" s="5771" t="s">
        <v>2599</v>
      </c>
      <c r="H67" s="5771" t="s">
        <v>28</v>
      </c>
      <c r="I67" s="5771" t="s">
        <v>919</v>
      </c>
    </row>
    <row customHeight="1" ht="11.25">
      <c r="A68" s="5771" t="s">
        <v>2364</v>
      </c>
      <c r="B68" s="5771" t="s">
        <v>16</v>
      </c>
      <c r="C68" s="5771" t="s">
        <v>2600</v>
      </c>
      <c r="D68" s="5771" t="s">
        <v>2601</v>
      </c>
      <c r="E68" s="5771" t="s">
        <v>2602</v>
      </c>
      <c r="F68" s="5771" t="s">
        <v>2371</v>
      </c>
      <c r="G68" s="5771" t="s">
        <v>2603</v>
      </c>
      <c r="H68" s="5771" t="s">
        <v>28</v>
      </c>
      <c r="I68" s="5771" t="s">
        <v>919</v>
      </c>
    </row>
    <row customHeight="1" ht="11.25">
      <c r="A69" s="5771" t="s">
        <v>2364</v>
      </c>
      <c r="B69" s="5771" t="s">
        <v>16</v>
      </c>
      <c r="C69" s="5771" t="s">
        <v>2604</v>
      </c>
      <c r="D69" s="5771" t="s">
        <v>2605</v>
      </c>
      <c r="E69" s="5771" t="s">
        <v>2606</v>
      </c>
      <c r="F69" s="5771" t="s">
        <v>2371</v>
      </c>
      <c r="G69" s="5771" t="s">
        <v>2607</v>
      </c>
      <c r="H69" s="5771" t="s">
        <v>28</v>
      </c>
      <c r="I69" s="5771" t="s">
        <v>919</v>
      </c>
    </row>
    <row customHeight="1" ht="11.25">
      <c r="A70" s="5771" t="s">
        <v>2364</v>
      </c>
      <c r="B70" s="5771" t="s">
        <v>16</v>
      </c>
      <c r="C70" s="5771" t="s">
        <v>2608</v>
      </c>
      <c r="D70" s="5771" t="s">
        <v>2609</v>
      </c>
      <c r="E70" s="5771" t="s">
        <v>2610</v>
      </c>
      <c r="F70" s="5771" t="s">
        <v>2611</v>
      </c>
      <c r="G70" s="5771" t="s">
        <v>28</v>
      </c>
      <c r="H70" s="5771" t="s">
        <v>28</v>
      </c>
      <c r="I70" s="5771" t="s">
        <v>919</v>
      </c>
    </row>
    <row customHeight="1" ht="11.25">
      <c r="A71" s="5771" t="s">
        <v>2364</v>
      </c>
      <c r="B71" s="5771" t="s">
        <v>16</v>
      </c>
      <c r="C71" s="5771" t="s">
        <v>2612</v>
      </c>
      <c r="D71" s="5771" t="s">
        <v>2613</v>
      </c>
      <c r="E71" s="5771" t="s">
        <v>2614</v>
      </c>
      <c r="F71" s="5771" t="s">
        <v>2598</v>
      </c>
      <c r="G71" s="5771" t="s">
        <v>28</v>
      </c>
      <c r="H71" s="5771" t="s">
        <v>28</v>
      </c>
      <c r="I71" s="5771" t="s">
        <v>919</v>
      </c>
    </row>
    <row customHeight="1" ht="11.25">
      <c r="A72" s="5771" t="s">
        <v>2364</v>
      </c>
      <c r="B72" s="5771" t="s">
        <v>16</v>
      </c>
      <c r="C72" s="5771" t="s">
        <v>2615</v>
      </c>
      <c r="D72" s="5771" t="s">
        <v>2616</v>
      </c>
      <c r="E72" s="5771" t="s">
        <v>2617</v>
      </c>
      <c r="F72" s="5771" t="s">
        <v>2416</v>
      </c>
      <c r="G72" s="5771" t="s">
        <v>28</v>
      </c>
      <c r="H72" s="5771" t="s">
        <v>28</v>
      </c>
      <c r="I72" s="5771" t="s">
        <v>919</v>
      </c>
    </row>
    <row customHeight="1" ht="11.25">
      <c r="A73" s="5771" t="s">
        <v>2364</v>
      </c>
      <c r="B73" s="5771" t="s">
        <v>16</v>
      </c>
      <c r="C73" s="5771" t="s">
        <v>2618</v>
      </c>
      <c r="D73" s="5771" t="s">
        <v>2619</v>
      </c>
      <c r="E73" s="5771" t="s">
        <v>2620</v>
      </c>
      <c r="F73" s="5771" t="s">
        <v>2598</v>
      </c>
      <c r="G73" s="5771" t="s">
        <v>28</v>
      </c>
      <c r="H73" s="5771" t="s">
        <v>28</v>
      </c>
      <c r="I73" s="5771" t="s">
        <v>919</v>
      </c>
    </row>
    <row customHeight="1" ht="11.25">
      <c r="A74" s="5771" t="s">
        <v>2364</v>
      </c>
      <c r="B74" s="5771" t="s">
        <v>16</v>
      </c>
      <c r="C74" s="5771" t="s">
        <v>2621</v>
      </c>
      <c r="D74" s="5771" t="s">
        <v>2622</v>
      </c>
      <c r="E74" s="5771" t="s">
        <v>2623</v>
      </c>
      <c r="F74" s="5771" t="s">
        <v>2499</v>
      </c>
      <c r="G74" s="5771" t="s">
        <v>2624</v>
      </c>
      <c r="H74" s="5771" t="s">
        <v>28</v>
      </c>
      <c r="I74" s="5771" t="s">
        <v>919</v>
      </c>
    </row>
    <row customHeight="1" ht="11.25">
      <c r="A75" s="5771" t="s">
        <v>2364</v>
      </c>
      <c r="B75" s="5771" t="s">
        <v>16</v>
      </c>
      <c r="C75" s="5771" t="s">
        <v>2625</v>
      </c>
      <c r="D75" s="5771" t="s">
        <v>2626</v>
      </c>
      <c r="E75" s="5771" t="s">
        <v>2627</v>
      </c>
      <c r="F75" s="5771" t="s">
        <v>2628</v>
      </c>
      <c r="G75" s="5771" t="s">
        <v>2629</v>
      </c>
      <c r="H75" s="5771" t="s">
        <v>28</v>
      </c>
      <c r="I75" s="5771" t="s">
        <v>919</v>
      </c>
    </row>
    <row customHeight="1" ht="11.25">
      <c r="A76" s="5771" t="s">
        <v>2364</v>
      </c>
      <c r="B76" s="5771" t="s">
        <v>16</v>
      </c>
      <c r="C76" s="5771" t="s">
        <v>2630</v>
      </c>
      <c r="D76" s="5771" t="s">
        <v>2631</v>
      </c>
      <c r="E76" s="5771" t="s">
        <v>2632</v>
      </c>
      <c r="F76" s="5771" t="s">
        <v>2598</v>
      </c>
      <c r="G76" s="5771" t="s">
        <v>28</v>
      </c>
      <c r="H76" s="5771" t="s">
        <v>28</v>
      </c>
      <c r="I76" s="5771" t="s">
        <v>919</v>
      </c>
    </row>
    <row customHeight="1" ht="11.25">
      <c r="A77" s="5771" t="s">
        <v>2364</v>
      </c>
      <c r="B77" s="5771" t="s">
        <v>16</v>
      </c>
      <c r="C77" s="5771" t="s">
        <v>2633</v>
      </c>
      <c r="D77" s="5771" t="s">
        <v>2634</v>
      </c>
      <c r="E77" s="5771" t="s">
        <v>2635</v>
      </c>
      <c r="F77" s="5771" t="s">
        <v>2598</v>
      </c>
      <c r="G77" s="5771" t="s">
        <v>28</v>
      </c>
      <c r="H77" s="5771" t="s">
        <v>28</v>
      </c>
      <c r="I77" s="5771" t="s">
        <v>919</v>
      </c>
    </row>
    <row customHeight="1" ht="11.25">
      <c r="A78" s="5771" t="s">
        <v>2364</v>
      </c>
      <c r="B78" s="5771" t="s">
        <v>16</v>
      </c>
      <c r="C78" s="5771" t="s">
        <v>2636</v>
      </c>
      <c r="D78" s="5771" t="s">
        <v>2637</v>
      </c>
      <c r="E78" s="5771" t="s">
        <v>2638</v>
      </c>
      <c r="F78" s="5771" t="s">
        <v>2639</v>
      </c>
      <c r="G78" s="5771" t="s">
        <v>28</v>
      </c>
      <c r="H78" s="5771" t="s">
        <v>28</v>
      </c>
      <c r="I78" s="5771" t="s">
        <v>919</v>
      </c>
    </row>
    <row customHeight="1" ht="11.25">
      <c r="A79" s="5771" t="s">
        <v>2364</v>
      </c>
      <c r="B79" s="5771" t="s">
        <v>16</v>
      </c>
      <c r="C79" s="5771" t="s">
        <v>2640</v>
      </c>
      <c r="D79" s="5771" t="s">
        <v>2641</v>
      </c>
      <c r="E79" s="5771" t="s">
        <v>2642</v>
      </c>
      <c r="F79" s="5771" t="s">
        <v>2367</v>
      </c>
      <c r="G79" s="5771" t="s">
        <v>28</v>
      </c>
      <c r="H79" s="5771" t="s">
        <v>28</v>
      </c>
      <c r="I79" s="5771" t="s">
        <v>919</v>
      </c>
    </row>
    <row customHeight="1" ht="11.25">
      <c r="A80" s="5771" t="s">
        <v>2364</v>
      </c>
      <c r="B80" s="5771" t="s">
        <v>16</v>
      </c>
      <c r="C80" s="5771" t="s">
        <v>2643</v>
      </c>
      <c r="D80" s="5771" t="s">
        <v>2644</v>
      </c>
      <c r="E80" s="5771" t="s">
        <v>2645</v>
      </c>
      <c r="F80" s="5771" t="s">
        <v>2404</v>
      </c>
      <c r="G80" s="5771" t="s">
        <v>28</v>
      </c>
      <c r="H80" s="5771" t="s">
        <v>28</v>
      </c>
      <c r="I80" s="5771" t="s">
        <v>919</v>
      </c>
    </row>
    <row customHeight="1" ht="11.25">
      <c r="A81" s="5771" t="s">
        <v>2364</v>
      </c>
      <c r="B81" s="5771" t="s">
        <v>16</v>
      </c>
      <c r="C81" s="5771" t="s">
        <v>2646</v>
      </c>
      <c r="D81" s="5771" t="s">
        <v>2647</v>
      </c>
      <c r="E81" s="5771" t="s">
        <v>2648</v>
      </c>
      <c r="F81" s="5771" t="s">
        <v>2371</v>
      </c>
      <c r="G81" s="5771" t="s">
        <v>28</v>
      </c>
      <c r="H81" s="5771" t="s">
        <v>28</v>
      </c>
      <c r="I81" s="5771" t="s">
        <v>919</v>
      </c>
    </row>
    <row customHeight="1" ht="11.25">
      <c r="A82" s="5771" t="s">
        <v>2364</v>
      </c>
      <c r="B82" s="5771" t="s">
        <v>16</v>
      </c>
      <c r="C82" s="5771" t="s">
        <v>2649</v>
      </c>
      <c r="D82" s="5771" t="s">
        <v>2650</v>
      </c>
      <c r="E82" s="5771" t="s">
        <v>2651</v>
      </c>
      <c r="F82" s="5771" t="s">
        <v>2652</v>
      </c>
      <c r="G82" s="5771" t="s">
        <v>2653</v>
      </c>
      <c r="H82" s="5771" t="s">
        <v>28</v>
      </c>
      <c r="I82" s="5771" t="s">
        <v>919</v>
      </c>
    </row>
    <row customHeight="1" ht="11.25">
      <c r="A83" s="5771" t="s">
        <v>2364</v>
      </c>
      <c r="B83" s="5771" t="s">
        <v>16</v>
      </c>
      <c r="C83" s="5771" t="s">
        <v>2654</v>
      </c>
      <c r="D83" s="5771" t="s">
        <v>2655</v>
      </c>
      <c r="E83" s="5771" t="s">
        <v>2656</v>
      </c>
      <c r="F83" s="5771" t="s">
        <v>2396</v>
      </c>
      <c r="G83" s="5771" t="s">
        <v>2657</v>
      </c>
      <c r="H83" s="5771" t="s">
        <v>28</v>
      </c>
      <c r="I83" s="5771" t="s">
        <v>919</v>
      </c>
    </row>
    <row customHeight="1" ht="11.25">
      <c r="A84" s="5771" t="s">
        <v>2364</v>
      </c>
      <c r="B84" s="5771" t="s">
        <v>16</v>
      </c>
      <c r="C84" s="5771" t="s">
        <v>2658</v>
      </c>
      <c r="D84" s="5771" t="s">
        <v>2659</v>
      </c>
      <c r="E84" s="5771" t="s">
        <v>2660</v>
      </c>
      <c r="F84" s="5771" t="s">
        <v>2639</v>
      </c>
      <c r="G84" s="5771" t="s">
        <v>28</v>
      </c>
      <c r="H84" s="5771" t="s">
        <v>28</v>
      </c>
      <c r="I84" s="5771" t="s">
        <v>919</v>
      </c>
    </row>
    <row customHeight="1" ht="11.25">
      <c r="A85" s="5771" t="s">
        <v>2364</v>
      </c>
      <c r="B85" s="5771" t="s">
        <v>16</v>
      </c>
      <c r="C85" s="5771" t="s">
        <v>2661</v>
      </c>
      <c r="D85" s="5771" t="s">
        <v>2662</v>
      </c>
      <c r="E85" s="5771" t="s">
        <v>2663</v>
      </c>
      <c r="F85" s="5771" t="s">
        <v>2567</v>
      </c>
      <c r="G85" s="5771" t="s">
        <v>2664</v>
      </c>
      <c r="H85" s="5771" t="s">
        <v>28</v>
      </c>
      <c r="I85" s="5771" t="s">
        <v>919</v>
      </c>
    </row>
    <row customHeight="1" ht="11.25">
      <c r="A86" s="5771" t="s">
        <v>2364</v>
      </c>
      <c r="B86" s="5771" t="s">
        <v>16</v>
      </c>
      <c r="C86" s="5771" t="s">
        <v>2665</v>
      </c>
      <c r="D86" s="5771" t="s">
        <v>2666</v>
      </c>
      <c r="E86" s="5771" t="s">
        <v>2667</v>
      </c>
      <c r="F86" s="5771" t="s">
        <v>2425</v>
      </c>
      <c r="G86" s="5771" t="s">
        <v>28</v>
      </c>
      <c r="H86" s="5771" t="s">
        <v>28</v>
      </c>
      <c r="I86" s="5771" t="s">
        <v>919</v>
      </c>
    </row>
    <row customHeight="1" ht="11.25">
      <c r="A87" s="5771" t="s">
        <v>2364</v>
      </c>
      <c r="B87" s="5771" t="s">
        <v>16</v>
      </c>
      <c r="C87" s="5771" t="s">
        <v>2668</v>
      </c>
      <c r="D87" s="5771" t="s">
        <v>2669</v>
      </c>
      <c r="E87" s="5771" t="s">
        <v>2670</v>
      </c>
      <c r="F87" s="5771" t="s">
        <v>2404</v>
      </c>
      <c r="G87" s="5771" t="s">
        <v>28</v>
      </c>
      <c r="H87" s="5771" t="s">
        <v>28</v>
      </c>
      <c r="I87" s="5771" t="s">
        <v>919</v>
      </c>
    </row>
    <row customHeight="1" ht="11.25">
      <c r="A88" s="5771" t="s">
        <v>2364</v>
      </c>
      <c r="B88" s="5771" t="s">
        <v>16</v>
      </c>
      <c r="C88" s="5771" t="s">
        <v>2671</v>
      </c>
      <c r="D88" s="5771" t="s">
        <v>2672</v>
      </c>
      <c r="E88" s="5771" t="s">
        <v>2673</v>
      </c>
      <c r="F88" s="5771" t="s">
        <v>2546</v>
      </c>
      <c r="G88" s="5771" t="s">
        <v>28</v>
      </c>
      <c r="H88" s="5771" t="s">
        <v>28</v>
      </c>
      <c r="I88" s="5771" t="s">
        <v>919</v>
      </c>
    </row>
    <row customHeight="1" ht="11.25">
      <c r="A89" s="5771" t="s">
        <v>2364</v>
      </c>
      <c r="B89" s="5771" t="s">
        <v>16</v>
      </c>
      <c r="C89" s="5771" t="s">
        <v>2674</v>
      </c>
      <c r="D89" s="5771" t="s">
        <v>2675</v>
      </c>
      <c r="E89" s="5771" t="s">
        <v>2676</v>
      </c>
      <c r="F89" s="5771" t="s">
        <v>2371</v>
      </c>
      <c r="G89" s="5771" t="s">
        <v>28</v>
      </c>
      <c r="H89" s="5771" t="s">
        <v>28</v>
      </c>
      <c r="I89" s="5771" t="s">
        <v>919</v>
      </c>
    </row>
    <row customHeight="1" ht="11.25">
      <c r="A90" s="5771" t="s">
        <v>2364</v>
      </c>
      <c r="B90" s="5771" t="s">
        <v>16</v>
      </c>
      <c r="C90" s="5771" t="s">
        <v>2677</v>
      </c>
      <c r="D90" s="5771" t="s">
        <v>2678</v>
      </c>
      <c r="E90" s="5771" t="s">
        <v>2679</v>
      </c>
      <c r="F90" s="5771" t="s">
        <v>2371</v>
      </c>
      <c r="G90" s="5771" t="s">
        <v>28</v>
      </c>
      <c r="H90" s="5771" t="s">
        <v>28</v>
      </c>
      <c r="I90" s="5771" t="s">
        <v>919</v>
      </c>
    </row>
    <row customHeight="1" ht="11.25">
      <c r="A91" s="5771" t="s">
        <v>2364</v>
      </c>
      <c r="B91" s="5771" t="s">
        <v>16</v>
      </c>
      <c r="C91" s="5771" t="s">
        <v>2680</v>
      </c>
      <c r="D91" s="5771" t="s">
        <v>2681</v>
      </c>
      <c r="E91" s="5771" t="s">
        <v>2682</v>
      </c>
      <c r="F91" s="5771" t="s">
        <v>2546</v>
      </c>
      <c r="G91" s="5771" t="s">
        <v>2426</v>
      </c>
      <c r="H91" s="5771" t="s">
        <v>28</v>
      </c>
      <c r="I91" s="5771" t="s">
        <v>919</v>
      </c>
    </row>
    <row customHeight="1" ht="11.25">
      <c r="A92" s="5771" t="s">
        <v>2364</v>
      </c>
      <c r="B92" s="5771" t="s">
        <v>16</v>
      </c>
      <c r="C92" s="5771" t="s">
        <v>2683</v>
      </c>
      <c r="D92" s="5771" t="s">
        <v>2684</v>
      </c>
      <c r="E92" s="5771" t="s">
        <v>2685</v>
      </c>
      <c r="F92" s="5771" t="s">
        <v>2686</v>
      </c>
      <c r="G92" s="5771" t="s">
        <v>28</v>
      </c>
      <c r="H92" s="5771" t="s">
        <v>28</v>
      </c>
      <c r="I92" s="5771" t="s">
        <v>919</v>
      </c>
    </row>
    <row customHeight="1" ht="11.25">
      <c r="A93" s="5771" t="s">
        <v>2364</v>
      </c>
      <c r="B93" s="5771" t="s">
        <v>16</v>
      </c>
      <c r="C93" s="5771" t="s">
        <v>2687</v>
      </c>
      <c r="D93" s="5771" t="s">
        <v>2688</v>
      </c>
      <c r="E93" s="5771" t="s">
        <v>2689</v>
      </c>
      <c r="F93" s="5771" t="s">
        <v>2433</v>
      </c>
      <c r="G93" s="5771" t="s">
        <v>28</v>
      </c>
      <c r="H93" s="5771" t="s">
        <v>28</v>
      </c>
      <c r="I93" s="5771" t="s">
        <v>919</v>
      </c>
    </row>
    <row customHeight="1" ht="11.25">
      <c r="A94" s="5771" t="s">
        <v>2364</v>
      </c>
      <c r="B94" s="5771" t="s">
        <v>16</v>
      </c>
      <c r="C94" s="5771" t="s">
        <v>2690</v>
      </c>
      <c r="D94" s="5771" t="s">
        <v>2691</v>
      </c>
      <c r="E94" s="5771" t="s">
        <v>2692</v>
      </c>
      <c r="F94" s="5771" t="s">
        <v>2693</v>
      </c>
      <c r="G94" s="5771" t="s">
        <v>28</v>
      </c>
      <c r="H94" s="5771" t="s">
        <v>28</v>
      </c>
      <c r="I94" s="5771" t="s">
        <v>919</v>
      </c>
    </row>
    <row customHeight="1" ht="11.25">
      <c r="A95" s="5771" t="s">
        <v>2364</v>
      </c>
      <c r="B95" s="5771" t="s">
        <v>16</v>
      </c>
      <c r="C95" s="5771" t="s">
        <v>2694</v>
      </c>
      <c r="D95" s="5771" t="s">
        <v>2695</v>
      </c>
      <c r="E95" s="5771" t="s">
        <v>2696</v>
      </c>
      <c r="F95" s="5771" t="s">
        <v>2416</v>
      </c>
      <c r="G95" s="5771" t="s">
        <v>28</v>
      </c>
      <c r="H95" s="5771" t="s">
        <v>28</v>
      </c>
      <c r="I95" s="5771" t="s">
        <v>919</v>
      </c>
    </row>
    <row customHeight="1" ht="11.25">
      <c r="A96" s="5771" t="s">
        <v>2364</v>
      </c>
      <c r="B96" s="5771" t="s">
        <v>16</v>
      </c>
      <c r="C96" s="5771" t="s">
        <v>2697</v>
      </c>
      <c r="D96" s="5771" t="s">
        <v>2698</v>
      </c>
      <c r="E96" s="5771" t="s">
        <v>2699</v>
      </c>
      <c r="F96" s="5771" t="s">
        <v>2371</v>
      </c>
      <c r="G96" s="5771" t="s">
        <v>28</v>
      </c>
      <c r="H96" s="5771" t="s">
        <v>28</v>
      </c>
      <c r="I96" s="5771" t="s">
        <v>919</v>
      </c>
    </row>
    <row customHeight="1" ht="11.25">
      <c r="A97" s="5771" t="s">
        <v>2364</v>
      </c>
      <c r="B97" s="5771" t="s">
        <v>16</v>
      </c>
      <c r="C97" s="5771" t="s">
        <v>2700</v>
      </c>
      <c r="D97" s="5771" t="s">
        <v>2701</v>
      </c>
      <c r="E97" s="5771" t="s">
        <v>2702</v>
      </c>
      <c r="F97" s="5771" t="s">
        <v>2433</v>
      </c>
      <c r="G97" s="5771" t="s">
        <v>2703</v>
      </c>
      <c r="H97" s="5771" t="s">
        <v>28</v>
      </c>
      <c r="I97" s="5771" t="s">
        <v>919</v>
      </c>
    </row>
    <row customHeight="1" ht="11.25">
      <c r="A98" s="5771" t="s">
        <v>2364</v>
      </c>
      <c r="B98" s="5771" t="s">
        <v>16</v>
      </c>
      <c r="C98" s="5771" t="s">
        <v>2704</v>
      </c>
      <c r="D98" s="5771" t="s">
        <v>2705</v>
      </c>
      <c r="E98" s="5771" t="s">
        <v>2706</v>
      </c>
      <c r="F98" s="5771" t="s">
        <v>2707</v>
      </c>
      <c r="G98" s="5771" t="s">
        <v>28</v>
      </c>
      <c r="H98" s="5771" t="s">
        <v>28</v>
      </c>
      <c r="I98" s="5771" t="s">
        <v>919</v>
      </c>
    </row>
    <row customHeight="1" ht="11.25">
      <c r="A99" s="5771" t="s">
        <v>2364</v>
      </c>
      <c r="B99" s="5771" t="s">
        <v>16</v>
      </c>
      <c r="C99" s="5771" t="s">
        <v>2708</v>
      </c>
      <c r="D99" s="5771" t="s">
        <v>2709</v>
      </c>
      <c r="E99" s="5771" t="s">
        <v>2710</v>
      </c>
      <c r="F99" s="5771" t="s">
        <v>2367</v>
      </c>
      <c r="G99" s="5771" t="s">
        <v>28</v>
      </c>
      <c r="H99" s="5771" t="s">
        <v>28</v>
      </c>
      <c r="I99" s="5771" t="s">
        <v>919</v>
      </c>
    </row>
    <row customHeight="1" ht="11.25">
      <c r="A100" s="5771" t="s">
        <v>2364</v>
      </c>
      <c r="B100" s="5771" t="s">
        <v>16</v>
      </c>
      <c r="C100" s="5771" t="s">
        <v>2711</v>
      </c>
      <c r="D100" s="5771" t="s">
        <v>2712</v>
      </c>
      <c r="E100" s="5771" t="s">
        <v>2713</v>
      </c>
      <c r="F100" s="5771" t="s">
        <v>2379</v>
      </c>
      <c r="G100" s="5771" t="s">
        <v>28</v>
      </c>
      <c r="H100" s="5771" t="s">
        <v>28</v>
      </c>
      <c r="I100" s="5771" t="s">
        <v>919</v>
      </c>
    </row>
    <row customHeight="1" ht="11.25">
      <c r="A101" s="5771" t="s">
        <v>2364</v>
      </c>
      <c r="B101" s="5771" t="s">
        <v>16</v>
      </c>
      <c r="C101" s="5771" t="s">
        <v>2714</v>
      </c>
      <c r="D101" s="5771" t="s">
        <v>2715</v>
      </c>
      <c r="E101" s="5771" t="s">
        <v>2716</v>
      </c>
      <c r="F101" s="5771" t="s">
        <v>2371</v>
      </c>
      <c r="G101" s="5771" t="s">
        <v>28</v>
      </c>
      <c r="H101" s="5771" t="s">
        <v>28</v>
      </c>
      <c r="I101" s="5771" t="s">
        <v>919</v>
      </c>
    </row>
    <row customHeight="1" ht="11.25">
      <c r="A102" s="5771" t="s">
        <v>2364</v>
      </c>
      <c r="B102" s="5771" t="s">
        <v>16</v>
      </c>
      <c r="C102" s="5771" t="s">
        <v>2717</v>
      </c>
      <c r="D102" s="5771" t="s">
        <v>2718</v>
      </c>
      <c r="E102" s="5771" t="s">
        <v>2719</v>
      </c>
      <c r="F102" s="5771" t="s">
        <v>2720</v>
      </c>
      <c r="G102" s="5771" t="s">
        <v>2721</v>
      </c>
      <c r="H102" s="5771" t="s">
        <v>28</v>
      </c>
      <c r="I102" s="5771" t="s">
        <v>919</v>
      </c>
    </row>
    <row customHeight="1" ht="11.25">
      <c r="A103" s="5771" t="s">
        <v>2364</v>
      </c>
      <c r="B103" s="5771" t="s">
        <v>16</v>
      </c>
      <c r="C103" s="5771" t="s">
        <v>2722</v>
      </c>
      <c r="D103" s="5771" t="s">
        <v>2723</v>
      </c>
      <c r="E103" s="5771" t="s">
        <v>2724</v>
      </c>
      <c r="F103" s="5771" t="s">
        <v>2693</v>
      </c>
      <c r="G103" s="5771" t="s">
        <v>2725</v>
      </c>
      <c r="H103" s="5771" t="s">
        <v>28</v>
      </c>
      <c r="I103" s="5771" t="s">
        <v>919</v>
      </c>
    </row>
    <row customHeight="1" ht="11.25">
      <c r="A104" s="5771" t="s">
        <v>2364</v>
      </c>
      <c r="B104" s="5771" t="s">
        <v>16</v>
      </c>
      <c r="C104" s="5771" t="s">
        <v>2726</v>
      </c>
      <c r="D104" s="5771" t="s">
        <v>2727</v>
      </c>
      <c r="E104" s="5771" t="s">
        <v>2728</v>
      </c>
      <c r="F104" s="5771" t="s">
        <v>2416</v>
      </c>
      <c r="G104" s="5771" t="s">
        <v>2729</v>
      </c>
      <c r="H104" s="5771" t="s">
        <v>28</v>
      </c>
      <c r="I104" s="5771" t="s">
        <v>919</v>
      </c>
    </row>
    <row customHeight="1" ht="11.25">
      <c r="A105" s="5771" t="s">
        <v>2364</v>
      </c>
      <c r="B105" s="5771" t="s">
        <v>16</v>
      </c>
      <c r="C105" s="5771" t="s">
        <v>2730</v>
      </c>
      <c r="D105" s="5771" t="s">
        <v>2731</v>
      </c>
      <c r="E105" s="5771" t="s">
        <v>2732</v>
      </c>
      <c r="F105" s="5771" t="s">
        <v>2733</v>
      </c>
      <c r="G105" s="5771" t="s">
        <v>28</v>
      </c>
      <c r="H105" s="5771" t="s">
        <v>28</v>
      </c>
      <c r="I105" s="5771" t="s">
        <v>919</v>
      </c>
    </row>
    <row customHeight="1" ht="11.25">
      <c r="A106" s="5771" t="s">
        <v>2364</v>
      </c>
      <c r="B106" s="5771" t="s">
        <v>16</v>
      </c>
      <c r="C106" s="5771" t="s">
        <v>2734</v>
      </c>
      <c r="D106" s="5771" t="s">
        <v>2735</v>
      </c>
      <c r="E106" s="5771" t="s">
        <v>2736</v>
      </c>
      <c r="F106" s="5771" t="s">
        <v>2367</v>
      </c>
      <c r="G106" s="5771" t="s">
        <v>28</v>
      </c>
      <c r="H106" s="5771" t="s">
        <v>28</v>
      </c>
      <c r="I106" s="5771" t="s">
        <v>919</v>
      </c>
    </row>
    <row customHeight="1" ht="11.25">
      <c r="A107" s="5771" t="s">
        <v>2364</v>
      </c>
      <c r="B107" s="5771" t="s">
        <v>16</v>
      </c>
      <c r="C107" s="5771" t="s">
        <v>2737</v>
      </c>
      <c r="D107" s="5771" t="s">
        <v>2738</v>
      </c>
      <c r="E107" s="5771" t="s">
        <v>2462</v>
      </c>
      <c r="F107" s="5771" t="s">
        <v>2739</v>
      </c>
      <c r="G107" s="5771" t="s">
        <v>28</v>
      </c>
      <c r="H107" s="5771" t="s">
        <v>28</v>
      </c>
      <c r="I107" s="5771" t="s">
        <v>919</v>
      </c>
    </row>
    <row customHeight="1" ht="11.25">
      <c r="A108" s="5771" t="s">
        <v>2364</v>
      </c>
      <c r="B108" s="5771" t="s">
        <v>16</v>
      </c>
      <c r="C108" s="5771" t="s">
        <v>2740</v>
      </c>
      <c r="D108" s="5771" t="s">
        <v>2741</v>
      </c>
      <c r="E108" s="5771" t="s">
        <v>2742</v>
      </c>
      <c r="F108" s="5771" t="s">
        <v>2567</v>
      </c>
      <c r="G108" s="5771" t="s">
        <v>28</v>
      </c>
      <c r="H108" s="5771" t="s">
        <v>28</v>
      </c>
      <c r="I108" s="5771" t="s">
        <v>919</v>
      </c>
    </row>
    <row customHeight="1" ht="11.25">
      <c r="A109" s="5771" t="s">
        <v>2364</v>
      </c>
      <c r="B109" s="5771" t="s">
        <v>16</v>
      </c>
      <c r="C109" s="5771" t="s">
        <v>2743</v>
      </c>
      <c r="D109" s="5771" t="s">
        <v>2744</v>
      </c>
      <c r="E109" s="5771" t="s">
        <v>2745</v>
      </c>
      <c r="F109" s="5771" t="s">
        <v>2746</v>
      </c>
      <c r="G109" s="5771" t="s">
        <v>2747</v>
      </c>
      <c r="H109" s="5771" t="s">
        <v>28</v>
      </c>
      <c r="I109" s="5771" t="s">
        <v>919</v>
      </c>
    </row>
    <row customHeight="1" ht="11.25">
      <c r="A110" s="5771" t="s">
        <v>2364</v>
      </c>
      <c r="B110" s="5771" t="s">
        <v>16</v>
      </c>
      <c r="C110" s="5771" t="s">
        <v>2748</v>
      </c>
      <c r="D110" s="5771" t="s">
        <v>2749</v>
      </c>
      <c r="E110" s="5771" t="s">
        <v>2750</v>
      </c>
      <c r="F110" s="5771" t="s">
        <v>2567</v>
      </c>
      <c r="G110" s="5771" t="s">
        <v>28</v>
      </c>
      <c r="H110" s="5771" t="s">
        <v>28</v>
      </c>
      <c r="I110" s="5771" t="s">
        <v>919</v>
      </c>
    </row>
    <row customHeight="1" ht="11.25">
      <c r="A111" s="5771" t="s">
        <v>2364</v>
      </c>
      <c r="B111" s="5771" t="s">
        <v>16</v>
      </c>
      <c r="C111" s="5771" t="s">
        <v>2751</v>
      </c>
      <c r="D111" s="5771" t="s">
        <v>2752</v>
      </c>
      <c r="E111" s="5771" t="s">
        <v>2753</v>
      </c>
      <c r="F111" s="5771" t="s">
        <v>2509</v>
      </c>
      <c r="G111" s="5771" t="s">
        <v>28</v>
      </c>
      <c r="H111" s="5771" t="s">
        <v>28</v>
      </c>
      <c r="I111" s="5771" t="s">
        <v>919</v>
      </c>
    </row>
    <row customHeight="1" ht="11.25">
      <c r="A112" s="5771" t="s">
        <v>2364</v>
      </c>
      <c r="B112" s="5771" t="s">
        <v>16</v>
      </c>
      <c r="C112" s="5771" t="s">
        <v>2754</v>
      </c>
      <c r="D112" s="5771" t="s">
        <v>2755</v>
      </c>
      <c r="E112" s="5771" t="s">
        <v>2756</v>
      </c>
      <c r="F112" s="5771" t="s">
        <v>2499</v>
      </c>
      <c r="G112" s="5771" t="s">
        <v>28</v>
      </c>
      <c r="H112" s="5771" t="s">
        <v>28</v>
      </c>
      <c r="I112" s="5771" t="s">
        <v>919</v>
      </c>
    </row>
    <row customHeight="1" ht="11.25">
      <c r="A113" s="5771" t="s">
        <v>2364</v>
      </c>
      <c r="B113" s="5771" t="s">
        <v>16</v>
      </c>
      <c r="C113" s="5771" t="s">
        <v>2757</v>
      </c>
      <c r="D113" s="5771" t="s">
        <v>2758</v>
      </c>
      <c r="E113" s="5771" t="s">
        <v>2759</v>
      </c>
      <c r="F113" s="5771" t="s">
        <v>2375</v>
      </c>
      <c r="G113" s="5771" t="s">
        <v>28</v>
      </c>
      <c r="H113" s="5771" t="s">
        <v>28</v>
      </c>
      <c r="I113" s="5771" t="s">
        <v>919</v>
      </c>
    </row>
    <row customHeight="1" ht="11.25">
      <c r="A114" s="5771" t="s">
        <v>2364</v>
      </c>
      <c r="B114" s="5771" t="s">
        <v>16</v>
      </c>
      <c r="C114" s="5771" t="s">
        <v>2760</v>
      </c>
      <c r="D114" s="5771" t="s">
        <v>2761</v>
      </c>
      <c r="E114" s="5771" t="s">
        <v>2762</v>
      </c>
      <c r="F114" s="5771" t="s">
        <v>2763</v>
      </c>
      <c r="G114" s="5771" t="s">
        <v>28</v>
      </c>
      <c r="H114" s="5771" t="s">
        <v>28</v>
      </c>
      <c r="I114" s="5771" t="s">
        <v>919</v>
      </c>
    </row>
    <row customHeight="1" ht="11.25">
      <c r="A115" s="5771" t="s">
        <v>2364</v>
      </c>
      <c r="B115" s="5771" t="s">
        <v>16</v>
      </c>
      <c r="C115" s="5771" t="s">
        <v>2764</v>
      </c>
      <c r="D115" s="5771" t="s">
        <v>2765</v>
      </c>
      <c r="E115" s="5771" t="s">
        <v>2766</v>
      </c>
      <c r="F115" s="5771" t="s">
        <v>2425</v>
      </c>
      <c r="G115" s="5771" t="s">
        <v>28</v>
      </c>
      <c r="H115" s="5771" t="s">
        <v>28</v>
      </c>
      <c r="I115" s="5771" t="s">
        <v>919</v>
      </c>
    </row>
    <row customHeight="1" ht="11.25">
      <c r="A116" s="5771" t="s">
        <v>2364</v>
      </c>
      <c r="B116" s="5771" t="s">
        <v>16</v>
      </c>
      <c r="C116" s="5771" t="s">
        <v>2767</v>
      </c>
      <c r="D116" s="5771" t="s">
        <v>2768</v>
      </c>
      <c r="E116" s="5771" t="s">
        <v>2769</v>
      </c>
      <c r="F116" s="5771" t="s">
        <v>2404</v>
      </c>
      <c r="G116" s="5771" t="s">
        <v>28</v>
      </c>
      <c r="H116" s="5771" t="s">
        <v>28</v>
      </c>
      <c r="I116" s="5771" t="s">
        <v>919</v>
      </c>
    </row>
    <row customHeight="1" ht="11.25">
      <c r="A117" s="5771" t="s">
        <v>2364</v>
      </c>
      <c r="B117" s="5771" t="s">
        <v>16</v>
      </c>
      <c r="C117" s="5771" t="s">
        <v>2770</v>
      </c>
      <c r="D117" s="5771" t="s">
        <v>2771</v>
      </c>
      <c r="E117" s="5771" t="s">
        <v>2772</v>
      </c>
      <c r="F117" s="5771" t="s">
        <v>2509</v>
      </c>
      <c r="G117" s="5771" t="s">
        <v>28</v>
      </c>
      <c r="H117" s="5771" t="s">
        <v>28</v>
      </c>
      <c r="I117" s="5771" t="s">
        <v>919</v>
      </c>
    </row>
    <row customHeight="1" ht="11.25">
      <c r="A118" s="5771" t="s">
        <v>2364</v>
      </c>
      <c r="B118" s="5771" t="s">
        <v>16</v>
      </c>
      <c r="C118" s="5771" t="s">
        <v>2773</v>
      </c>
      <c r="D118" s="5771" t="s">
        <v>2774</v>
      </c>
      <c r="E118" s="5771" t="s">
        <v>2775</v>
      </c>
      <c r="F118" s="5771" t="s">
        <v>2404</v>
      </c>
      <c r="G118" s="5771" t="s">
        <v>28</v>
      </c>
      <c r="H118" s="5771" t="s">
        <v>28</v>
      </c>
      <c r="I118" s="5771" t="s">
        <v>919</v>
      </c>
    </row>
    <row customHeight="1" ht="11.25">
      <c r="A119" s="5771" t="s">
        <v>2364</v>
      </c>
      <c r="B119" s="5771" t="s">
        <v>16</v>
      </c>
      <c r="C119" s="5771" t="s">
        <v>2776</v>
      </c>
      <c r="D119" s="5771" t="s">
        <v>2777</v>
      </c>
      <c r="E119" s="5771" t="s">
        <v>2778</v>
      </c>
      <c r="F119" s="5771" t="s">
        <v>2404</v>
      </c>
      <c r="G119" s="5771" t="s">
        <v>28</v>
      </c>
      <c r="H119" s="5771" t="s">
        <v>28</v>
      </c>
      <c r="I119" s="5771" t="s">
        <v>919</v>
      </c>
    </row>
    <row customHeight="1" ht="11.25">
      <c r="A120" s="5771" t="s">
        <v>2364</v>
      </c>
      <c r="B120" s="5771" t="s">
        <v>16</v>
      </c>
      <c r="C120" s="5771" t="s">
        <v>2779</v>
      </c>
      <c r="D120" s="5771" t="s">
        <v>2780</v>
      </c>
      <c r="E120" s="5771" t="s">
        <v>2781</v>
      </c>
      <c r="F120" s="5771" t="s">
        <v>2567</v>
      </c>
      <c r="G120" s="5771" t="s">
        <v>28</v>
      </c>
      <c r="H120" s="5771" t="s">
        <v>28</v>
      </c>
      <c r="I120" s="5771" t="s">
        <v>919</v>
      </c>
    </row>
    <row customHeight="1" ht="11.25">
      <c r="A121" s="5771" t="s">
        <v>2364</v>
      </c>
      <c r="B121" s="5771" t="s">
        <v>16</v>
      </c>
      <c r="C121" s="5771" t="s">
        <v>2782</v>
      </c>
      <c r="D121" s="5771" t="s">
        <v>2783</v>
      </c>
      <c r="E121" s="5771" t="s">
        <v>2784</v>
      </c>
      <c r="F121" s="5771" t="s">
        <v>2785</v>
      </c>
      <c r="G121" s="5771" t="s">
        <v>28</v>
      </c>
      <c r="H121" s="5771" t="s">
        <v>28</v>
      </c>
      <c r="I121" s="5771" t="s">
        <v>919</v>
      </c>
    </row>
    <row customHeight="1" ht="11.25">
      <c r="A122" s="5771" t="s">
        <v>2364</v>
      </c>
      <c r="B122" s="5771" t="s">
        <v>16</v>
      </c>
      <c r="C122" s="5771" t="s">
        <v>2786</v>
      </c>
      <c r="D122" s="5771" t="s">
        <v>2787</v>
      </c>
      <c r="E122" s="5771" t="s">
        <v>2788</v>
      </c>
      <c r="F122" s="5771" t="s">
        <v>2789</v>
      </c>
      <c r="G122" s="5771" t="s">
        <v>28</v>
      </c>
      <c r="H122" s="5771" t="s">
        <v>28</v>
      </c>
      <c r="I122" s="5771" t="s">
        <v>919</v>
      </c>
    </row>
    <row customHeight="1" ht="11.25">
      <c r="A123" s="5771" t="s">
        <v>2364</v>
      </c>
      <c r="B123" s="5771" t="s">
        <v>16</v>
      </c>
      <c r="C123" s="5771" t="s">
        <v>2790</v>
      </c>
      <c r="D123" s="5771" t="s">
        <v>2791</v>
      </c>
      <c r="E123" s="5771" t="s">
        <v>2792</v>
      </c>
      <c r="F123" s="5771" t="s">
        <v>2396</v>
      </c>
      <c r="G123" s="5771" t="s">
        <v>28</v>
      </c>
      <c r="H123" s="5771" t="s">
        <v>28</v>
      </c>
      <c r="I123" s="5771" t="s">
        <v>919</v>
      </c>
    </row>
    <row customHeight="1" ht="11.25">
      <c r="A124" s="5771" t="s">
        <v>2364</v>
      </c>
      <c r="B124" s="5771" t="s">
        <v>16</v>
      </c>
      <c r="C124" s="5771" t="s">
        <v>2793</v>
      </c>
      <c r="D124" s="5771" t="s">
        <v>2794</v>
      </c>
      <c r="E124" s="5771" t="s">
        <v>2795</v>
      </c>
      <c r="F124" s="5771" t="s">
        <v>2400</v>
      </c>
      <c r="G124" s="5771" t="s">
        <v>28</v>
      </c>
      <c r="H124" s="5771" t="s">
        <v>28</v>
      </c>
      <c r="I124" s="5771" t="s">
        <v>919</v>
      </c>
    </row>
    <row customHeight="1" ht="11.25">
      <c r="A125" s="5771" t="s">
        <v>2364</v>
      </c>
      <c r="B125" s="5771" t="s">
        <v>16</v>
      </c>
      <c r="C125" s="5771" t="s">
        <v>28</v>
      </c>
      <c r="D125" s="5771" t="s">
        <v>2365</v>
      </c>
      <c r="E125" s="5771" t="s">
        <v>2366</v>
      </c>
      <c r="F125" s="5771" t="s">
        <v>2367</v>
      </c>
      <c r="G125" s="5771" t="s">
        <v>28</v>
      </c>
      <c r="H125" s="5771" t="s">
        <v>28</v>
      </c>
      <c r="I125" s="5771" t="s">
        <v>1005</v>
      </c>
    </row>
    <row customHeight="1" ht="11.25">
      <c r="A126" s="5771" t="s">
        <v>2364</v>
      </c>
      <c r="B126" s="5771" t="s">
        <v>16</v>
      </c>
      <c r="C126" s="5771" t="s">
        <v>2376</v>
      </c>
      <c r="D126" s="5771" t="s">
        <v>2377</v>
      </c>
      <c r="E126" s="5771" t="s">
        <v>2378</v>
      </c>
      <c r="F126" s="5771" t="s">
        <v>2379</v>
      </c>
      <c r="G126" s="5771" t="s">
        <v>28</v>
      </c>
      <c r="H126" s="5771" t="s">
        <v>28</v>
      </c>
      <c r="I126" s="5771" t="s">
        <v>1005</v>
      </c>
    </row>
    <row customHeight="1" ht="11.25">
      <c r="A127" s="5771" t="s">
        <v>2364</v>
      </c>
      <c r="B127" s="5771" t="s">
        <v>16</v>
      </c>
      <c r="C127" s="5771" t="s">
        <v>2380</v>
      </c>
      <c r="D127" s="5771" t="s">
        <v>2381</v>
      </c>
      <c r="E127" s="5771" t="s">
        <v>2382</v>
      </c>
      <c r="F127" s="5771" t="s">
        <v>2383</v>
      </c>
      <c r="G127" s="5771" t="s">
        <v>28</v>
      </c>
      <c r="H127" s="5771" t="s">
        <v>28</v>
      </c>
      <c r="I127" s="5771" t="s">
        <v>1005</v>
      </c>
    </row>
    <row customHeight="1" ht="11.25">
      <c r="A128" s="5771" t="s">
        <v>2364</v>
      </c>
      <c r="B128" s="5771" t="s">
        <v>16</v>
      </c>
      <c r="C128" s="5771" t="s">
        <v>2387</v>
      </c>
      <c r="D128" s="5771" t="s">
        <v>2388</v>
      </c>
      <c r="E128" s="5771" t="s">
        <v>2382</v>
      </c>
      <c r="F128" s="5771" t="s">
        <v>2389</v>
      </c>
      <c r="G128" s="5771" t="s">
        <v>28</v>
      </c>
      <c r="H128" s="5771" t="s">
        <v>28</v>
      </c>
      <c r="I128" s="5771" t="s">
        <v>1005</v>
      </c>
    </row>
    <row customHeight="1" ht="11.25">
      <c r="A129" s="5771" t="s">
        <v>2364</v>
      </c>
      <c r="B129" s="5771" t="s">
        <v>16</v>
      </c>
      <c r="C129" s="5771" t="s">
        <v>2390</v>
      </c>
      <c r="D129" s="5771" t="s">
        <v>2391</v>
      </c>
      <c r="E129" s="5771" t="s">
        <v>2382</v>
      </c>
      <c r="F129" s="5771" t="s">
        <v>2392</v>
      </c>
      <c r="G129" s="5771" t="s">
        <v>28</v>
      </c>
      <c r="H129" s="5771" t="s">
        <v>28</v>
      </c>
      <c r="I129" s="5771" t="s">
        <v>1005</v>
      </c>
    </row>
    <row customHeight="1" ht="11.25">
      <c r="A130" s="5771" t="s">
        <v>2364</v>
      </c>
      <c r="B130" s="5771" t="s">
        <v>16</v>
      </c>
      <c r="C130" s="5771" t="s">
        <v>2397</v>
      </c>
      <c r="D130" s="5771" t="s">
        <v>2398</v>
      </c>
      <c r="E130" s="5771" t="s">
        <v>2399</v>
      </c>
      <c r="F130" s="5771" t="s">
        <v>2400</v>
      </c>
      <c r="G130" s="5771" t="s">
        <v>28</v>
      </c>
      <c r="H130" s="5771" t="s">
        <v>28</v>
      </c>
      <c r="I130" s="5771" t="s">
        <v>1005</v>
      </c>
    </row>
    <row customHeight="1" ht="11.25">
      <c r="A131" s="5771" t="s">
        <v>2364</v>
      </c>
      <c r="B131" s="5771" t="s">
        <v>16</v>
      </c>
      <c r="C131" s="5771" t="s">
        <v>2405</v>
      </c>
      <c r="D131" s="5771" t="s">
        <v>2406</v>
      </c>
      <c r="E131" s="5771" t="s">
        <v>2407</v>
      </c>
      <c r="F131" s="5771" t="s">
        <v>2408</v>
      </c>
      <c r="G131" s="5771" t="s">
        <v>2409</v>
      </c>
      <c r="H131" s="5771" t="s">
        <v>28</v>
      </c>
      <c r="I131" s="5771" t="s">
        <v>1005</v>
      </c>
    </row>
    <row customHeight="1" ht="11.25">
      <c r="A132" s="5771" t="s">
        <v>2364</v>
      </c>
      <c r="B132" s="5771" t="s">
        <v>16</v>
      </c>
      <c r="C132" s="5771" t="s">
        <v>2422</v>
      </c>
      <c r="D132" s="5771" t="s">
        <v>2423</v>
      </c>
      <c r="E132" s="5771" t="s">
        <v>2424</v>
      </c>
      <c r="F132" s="5771" t="s">
        <v>2425</v>
      </c>
      <c r="G132" s="5771" t="s">
        <v>2426</v>
      </c>
      <c r="H132" s="5771" t="s">
        <v>28</v>
      </c>
      <c r="I132" s="5771" t="s">
        <v>1005</v>
      </c>
    </row>
    <row customHeight="1" ht="11.25">
      <c r="A133" s="5771" t="s">
        <v>2364</v>
      </c>
      <c r="B133" s="5771" t="s">
        <v>16</v>
      </c>
      <c r="C133" s="5771" t="s">
        <v>2427</v>
      </c>
      <c r="D133" s="5771" t="s">
        <v>2428</v>
      </c>
      <c r="E133" s="5771" t="s">
        <v>2429</v>
      </c>
      <c r="F133" s="5771" t="s">
        <v>2396</v>
      </c>
      <c r="G133" s="5771" t="s">
        <v>28</v>
      </c>
      <c r="H133" s="5771" t="s">
        <v>28</v>
      </c>
      <c r="I133" s="5771" t="s">
        <v>1005</v>
      </c>
    </row>
    <row customHeight="1" ht="11.25">
      <c r="A134" s="5771" t="s">
        <v>2364</v>
      </c>
      <c r="B134" s="5771" t="s">
        <v>16</v>
      </c>
      <c r="C134" s="5771" t="s">
        <v>2434</v>
      </c>
      <c r="D134" s="5771" t="s">
        <v>2435</v>
      </c>
      <c r="E134" s="5771" t="s">
        <v>2436</v>
      </c>
      <c r="F134" s="5771" t="s">
        <v>2404</v>
      </c>
      <c r="G134" s="5771" t="s">
        <v>2437</v>
      </c>
      <c r="H134" s="5771" t="s">
        <v>28</v>
      </c>
      <c r="I134" s="5771" t="s">
        <v>1005</v>
      </c>
    </row>
    <row customHeight="1" ht="11.25">
      <c r="A135" s="5771" t="s">
        <v>2364</v>
      </c>
      <c r="B135" s="5771" t="s">
        <v>16</v>
      </c>
      <c r="C135" s="5771" t="s">
        <v>2446</v>
      </c>
      <c r="D135" s="5771" t="s">
        <v>2447</v>
      </c>
      <c r="E135" s="5771" t="s">
        <v>2448</v>
      </c>
      <c r="F135" s="5771" t="s">
        <v>2449</v>
      </c>
      <c r="G135" s="5771" t="s">
        <v>28</v>
      </c>
      <c r="H135" s="5771" t="s">
        <v>28</v>
      </c>
      <c r="I135" s="5771" t="s">
        <v>1005</v>
      </c>
    </row>
    <row customHeight="1" ht="11.25">
      <c r="A136" s="5771" t="s">
        <v>2364</v>
      </c>
      <c r="B136" s="5771" t="s">
        <v>16</v>
      </c>
      <c r="C136" s="5771" t="s">
        <v>2464</v>
      </c>
      <c r="D136" s="5771" t="s">
        <v>2465</v>
      </c>
      <c r="E136" s="5771" t="s">
        <v>2462</v>
      </c>
      <c r="F136" s="5771" t="s">
        <v>2466</v>
      </c>
      <c r="G136" s="5771" t="s">
        <v>28</v>
      </c>
      <c r="H136" s="5771" t="s">
        <v>28</v>
      </c>
      <c r="I136" s="5771" t="s">
        <v>1005</v>
      </c>
    </row>
    <row customHeight="1" ht="11.25">
      <c r="A137" s="5771" t="s">
        <v>2364</v>
      </c>
      <c r="B137" s="5771" t="s">
        <v>16</v>
      </c>
      <c r="C137" s="5771" t="s">
        <v>2796</v>
      </c>
      <c r="D137" s="5771" t="s">
        <v>47</v>
      </c>
      <c r="E137" s="5771" t="s">
        <v>50</v>
      </c>
      <c r="F137" s="5771" t="s">
        <v>2797</v>
      </c>
      <c r="G137" s="5771" t="s">
        <v>28</v>
      </c>
      <c r="H137" s="5771" t="s">
        <v>28</v>
      </c>
      <c r="I137" s="5771" t="s">
        <v>1005</v>
      </c>
    </row>
    <row customHeight="1" ht="11.25">
      <c r="A138" s="5771" t="s">
        <v>2364</v>
      </c>
      <c r="B138" s="5771" t="s">
        <v>16</v>
      </c>
      <c r="C138" s="5771" t="s">
        <v>2798</v>
      </c>
      <c r="D138" s="5771" t="s">
        <v>47</v>
      </c>
      <c r="E138" s="5771" t="s">
        <v>50</v>
      </c>
      <c r="F138" s="5771" t="s">
        <v>2799</v>
      </c>
      <c r="G138" s="5771" t="s">
        <v>28</v>
      </c>
      <c r="H138" s="5771" t="s">
        <v>28</v>
      </c>
      <c r="I138" s="5771" t="s">
        <v>1005</v>
      </c>
    </row>
    <row customHeight="1" ht="11.25">
      <c r="A139" s="5771" t="s">
        <v>2364</v>
      </c>
      <c r="B139" s="5771" t="s">
        <v>16</v>
      </c>
      <c r="C139" s="5771" t="s">
        <v>2800</v>
      </c>
      <c r="D139" s="5771" t="s">
        <v>47</v>
      </c>
      <c r="E139" s="5771" t="s">
        <v>50</v>
      </c>
      <c r="F139" s="5771" t="s">
        <v>2801</v>
      </c>
      <c r="G139" s="5771" t="s">
        <v>28</v>
      </c>
      <c r="H139" s="5771" t="s">
        <v>28</v>
      </c>
      <c r="I139" s="5771" t="s">
        <v>1005</v>
      </c>
    </row>
    <row customHeight="1" ht="11.25">
      <c r="A140" s="5771" t="s">
        <v>2364</v>
      </c>
      <c r="B140" s="5771" t="s">
        <v>16</v>
      </c>
      <c r="C140" s="5771" t="s">
        <v>2802</v>
      </c>
      <c r="D140" s="5771" t="s">
        <v>47</v>
      </c>
      <c r="E140" s="5771" t="s">
        <v>50</v>
      </c>
      <c r="F140" s="5771" t="s">
        <v>2803</v>
      </c>
      <c r="G140" s="5771" t="s">
        <v>28</v>
      </c>
      <c r="H140" s="5771" t="s">
        <v>28</v>
      </c>
      <c r="I140" s="5771" t="s">
        <v>1005</v>
      </c>
    </row>
    <row customHeight="1" ht="11.25">
      <c r="A141" s="5771" t="s">
        <v>2364</v>
      </c>
      <c r="B141" s="5771" t="s">
        <v>16</v>
      </c>
      <c r="C141" s="5771" t="s">
        <v>2804</v>
      </c>
      <c r="D141" s="5771" t="s">
        <v>47</v>
      </c>
      <c r="E141" s="5771" t="s">
        <v>50</v>
      </c>
      <c r="F141" s="5771" t="s">
        <v>2805</v>
      </c>
      <c r="G141" s="5771" t="s">
        <v>28</v>
      </c>
      <c r="H141" s="5771" t="s">
        <v>28</v>
      </c>
      <c r="I141" s="5771" t="s">
        <v>1005</v>
      </c>
    </row>
    <row customHeight="1" ht="11.25">
      <c r="A142" s="5771" t="s">
        <v>2364</v>
      </c>
      <c r="B142" s="5771" t="s">
        <v>16</v>
      </c>
      <c r="C142" s="5771" t="s">
        <v>2806</v>
      </c>
      <c r="D142" s="5771" t="s">
        <v>47</v>
      </c>
      <c r="E142" s="5771" t="s">
        <v>50</v>
      </c>
      <c r="F142" s="5771" t="s">
        <v>2807</v>
      </c>
      <c r="G142" s="5771" t="s">
        <v>28</v>
      </c>
      <c r="H142" s="5771" t="s">
        <v>28</v>
      </c>
      <c r="I142" s="5771" t="s">
        <v>1005</v>
      </c>
    </row>
    <row customHeight="1" ht="11.25">
      <c r="A143" s="5771" t="s">
        <v>2364</v>
      </c>
      <c r="B143" s="5771" t="s">
        <v>16</v>
      </c>
      <c r="C143" s="5771" t="s">
        <v>2808</v>
      </c>
      <c r="D143" s="5771" t="s">
        <v>47</v>
      </c>
      <c r="E143" s="5771" t="s">
        <v>50</v>
      </c>
      <c r="F143" s="5771" t="s">
        <v>2809</v>
      </c>
      <c r="G143" s="5771" t="s">
        <v>28</v>
      </c>
      <c r="H143" s="5771" t="s">
        <v>28</v>
      </c>
      <c r="I143" s="5771" t="s">
        <v>1005</v>
      </c>
    </row>
    <row customHeight="1" ht="11.25">
      <c r="A144" s="5771" t="s">
        <v>2364</v>
      </c>
      <c r="B144" s="5771" t="s">
        <v>16</v>
      </c>
      <c r="C144" s="5771" t="s">
        <v>2810</v>
      </c>
      <c r="D144" s="5771" t="s">
        <v>47</v>
      </c>
      <c r="E144" s="5771" t="s">
        <v>50</v>
      </c>
      <c r="F144" s="5771" t="s">
        <v>2811</v>
      </c>
      <c r="G144" s="5771" t="s">
        <v>28</v>
      </c>
      <c r="H144" s="5771" t="s">
        <v>28</v>
      </c>
      <c r="I144" s="5771" t="s">
        <v>1005</v>
      </c>
    </row>
    <row customHeight="1" ht="11.25">
      <c r="A145" s="5771" t="s">
        <v>2364</v>
      </c>
      <c r="B145" s="5771" t="s">
        <v>16</v>
      </c>
      <c r="C145" s="5771" t="s">
        <v>2510</v>
      </c>
      <c r="D145" s="5771" t="s">
        <v>47</v>
      </c>
      <c r="E145" s="5771" t="s">
        <v>50</v>
      </c>
      <c r="F145" s="5771" t="s">
        <v>2509</v>
      </c>
      <c r="G145" s="5771" t="s">
        <v>28</v>
      </c>
      <c r="H145" s="5771" t="s">
        <v>28</v>
      </c>
      <c r="I145" s="5771" t="s">
        <v>1005</v>
      </c>
    </row>
    <row customHeight="1" ht="11.25">
      <c r="A146" s="5771" t="s">
        <v>2364</v>
      </c>
      <c r="B146" s="5771" t="s">
        <v>16</v>
      </c>
      <c r="C146" s="5771" t="s">
        <v>2812</v>
      </c>
      <c r="D146" s="5771" t="s">
        <v>2813</v>
      </c>
      <c r="E146" s="5771" t="s">
        <v>50</v>
      </c>
      <c r="F146" s="5771" t="s">
        <v>2814</v>
      </c>
      <c r="G146" s="5771" t="s">
        <v>28</v>
      </c>
      <c r="H146" s="5771" t="s">
        <v>28</v>
      </c>
      <c r="I146" s="5771" t="s">
        <v>1005</v>
      </c>
    </row>
    <row customHeight="1" ht="11.25">
      <c r="A147" s="5771" t="s">
        <v>2364</v>
      </c>
      <c r="B147" s="5771" t="s">
        <v>16</v>
      </c>
      <c r="C147" s="5771" t="s">
        <v>2519</v>
      </c>
      <c r="D147" s="5771" t="s">
        <v>2520</v>
      </c>
      <c r="E147" s="5771" t="s">
        <v>2521</v>
      </c>
      <c r="F147" s="5771" t="s">
        <v>2396</v>
      </c>
      <c r="G147" s="5771" t="s">
        <v>28</v>
      </c>
      <c r="H147" s="5771" t="s">
        <v>28</v>
      </c>
      <c r="I147" s="5771" t="s">
        <v>1005</v>
      </c>
    </row>
    <row customHeight="1" ht="11.25">
      <c r="A148" s="5771" t="s">
        <v>2364</v>
      </c>
      <c r="B148" s="5771" t="s">
        <v>16</v>
      </c>
      <c r="C148" s="5771" t="s">
        <v>2526</v>
      </c>
      <c r="D148" s="5771" t="s">
        <v>2527</v>
      </c>
      <c r="E148" s="5771" t="s">
        <v>2528</v>
      </c>
      <c r="F148" s="5771" t="s">
        <v>2529</v>
      </c>
      <c r="G148" s="5771" t="s">
        <v>28</v>
      </c>
      <c r="H148" s="5771" t="s">
        <v>28</v>
      </c>
      <c r="I148" s="5771" t="s">
        <v>1005</v>
      </c>
    </row>
    <row customHeight="1" ht="11.25">
      <c r="A149" s="5771" t="s">
        <v>2364</v>
      </c>
      <c r="B149" s="5771" t="s">
        <v>16</v>
      </c>
      <c r="C149" s="5771" t="s">
        <v>2547</v>
      </c>
      <c r="D149" s="5771" t="s">
        <v>2548</v>
      </c>
      <c r="E149" s="5771" t="s">
        <v>2549</v>
      </c>
      <c r="F149" s="5771" t="s">
        <v>2509</v>
      </c>
      <c r="G149" s="5771" t="s">
        <v>28</v>
      </c>
      <c r="H149" s="5771" t="s">
        <v>28</v>
      </c>
      <c r="I149" s="5771" t="s">
        <v>1005</v>
      </c>
    </row>
    <row customHeight="1" ht="11.25">
      <c r="A150" s="5771" t="s">
        <v>2364</v>
      </c>
      <c r="B150" s="5771" t="s">
        <v>16</v>
      </c>
      <c r="C150" s="5771" t="s">
        <v>2574</v>
      </c>
      <c r="D150" s="5771" t="s">
        <v>2575</v>
      </c>
      <c r="E150" s="5771" t="s">
        <v>2576</v>
      </c>
      <c r="F150" s="5771" t="s">
        <v>2404</v>
      </c>
      <c r="G150" s="5771" t="s">
        <v>28</v>
      </c>
      <c r="H150" s="5771" t="s">
        <v>28</v>
      </c>
      <c r="I150" s="5771" t="s">
        <v>1005</v>
      </c>
    </row>
    <row customHeight="1" ht="11.25">
      <c r="A151" s="5771" t="s">
        <v>2364</v>
      </c>
      <c r="B151" s="5771" t="s">
        <v>16</v>
      </c>
      <c r="C151" s="5771" t="s">
        <v>2577</v>
      </c>
      <c r="D151" s="5771" t="s">
        <v>2578</v>
      </c>
      <c r="E151" s="5771" t="s">
        <v>2462</v>
      </c>
      <c r="F151" s="5771" t="s">
        <v>2579</v>
      </c>
      <c r="G151" s="5771" t="s">
        <v>28</v>
      </c>
      <c r="H151" s="5771" t="s">
        <v>28</v>
      </c>
      <c r="I151" s="5771" t="s">
        <v>1005</v>
      </c>
    </row>
    <row customHeight="1" ht="11.25">
      <c r="A152" s="5771" t="s">
        <v>2364</v>
      </c>
      <c r="B152" s="5771" t="s">
        <v>16</v>
      </c>
      <c r="C152" s="5771" t="s">
        <v>2625</v>
      </c>
      <c r="D152" s="5771" t="s">
        <v>2626</v>
      </c>
      <c r="E152" s="5771" t="s">
        <v>2627</v>
      </c>
      <c r="F152" s="5771" t="s">
        <v>2628</v>
      </c>
      <c r="G152" s="5771" t="s">
        <v>2629</v>
      </c>
      <c r="H152" s="5771" t="s">
        <v>28</v>
      </c>
      <c r="I152" s="5771" t="s">
        <v>1005</v>
      </c>
    </row>
    <row customHeight="1" ht="11.25">
      <c r="A153" s="5771" t="s">
        <v>2364</v>
      </c>
      <c r="B153" s="5771" t="s">
        <v>16</v>
      </c>
      <c r="C153" s="5771" t="s">
        <v>2636</v>
      </c>
      <c r="D153" s="5771" t="s">
        <v>2637</v>
      </c>
      <c r="E153" s="5771" t="s">
        <v>2638</v>
      </c>
      <c r="F153" s="5771" t="s">
        <v>2639</v>
      </c>
      <c r="G153" s="5771" t="s">
        <v>28</v>
      </c>
      <c r="H153" s="5771" t="s">
        <v>28</v>
      </c>
      <c r="I153" s="5771" t="s">
        <v>1005</v>
      </c>
    </row>
    <row customHeight="1" ht="11.25">
      <c r="A154" s="5771" t="s">
        <v>2364</v>
      </c>
      <c r="B154" s="5771" t="s">
        <v>16</v>
      </c>
      <c r="C154" s="5771" t="s">
        <v>2683</v>
      </c>
      <c r="D154" s="5771" t="s">
        <v>2684</v>
      </c>
      <c r="E154" s="5771" t="s">
        <v>2685</v>
      </c>
      <c r="F154" s="5771" t="s">
        <v>2686</v>
      </c>
      <c r="G154" s="5771" t="s">
        <v>28</v>
      </c>
      <c r="H154" s="5771" t="s">
        <v>28</v>
      </c>
      <c r="I154" s="5771" t="s">
        <v>1005</v>
      </c>
    </row>
    <row customHeight="1" ht="11.25">
      <c r="A155" s="5771" t="s">
        <v>2364</v>
      </c>
      <c r="B155" s="5771" t="s">
        <v>16</v>
      </c>
      <c r="C155" s="5771" t="s">
        <v>2734</v>
      </c>
      <c r="D155" s="5771" t="s">
        <v>2735</v>
      </c>
      <c r="E155" s="5771" t="s">
        <v>2736</v>
      </c>
      <c r="F155" s="5771" t="s">
        <v>2367</v>
      </c>
      <c r="G155" s="5771" t="s">
        <v>28</v>
      </c>
      <c r="H155" s="5771" t="s">
        <v>28</v>
      </c>
      <c r="I155" s="5771" t="s">
        <v>1005</v>
      </c>
    </row>
    <row customHeight="1" ht="11.25">
      <c r="A156" s="5771" t="s">
        <v>2364</v>
      </c>
      <c r="B156" s="5771" t="s">
        <v>16</v>
      </c>
      <c r="C156" s="5771" t="s">
        <v>2740</v>
      </c>
      <c r="D156" s="5771" t="s">
        <v>2741</v>
      </c>
      <c r="E156" s="5771" t="s">
        <v>2742</v>
      </c>
      <c r="F156" s="5771" t="s">
        <v>2567</v>
      </c>
      <c r="G156" s="5771" t="s">
        <v>28</v>
      </c>
      <c r="H156" s="5771" t="s">
        <v>28</v>
      </c>
      <c r="I156" s="5771" t="s">
        <v>1005</v>
      </c>
    </row>
    <row customHeight="1" ht="11.25">
      <c r="A157" s="5771" t="s">
        <v>2364</v>
      </c>
      <c r="B157" s="5771" t="s">
        <v>16</v>
      </c>
      <c r="C157" s="5771" t="s">
        <v>2743</v>
      </c>
      <c r="D157" s="5771" t="s">
        <v>2744</v>
      </c>
      <c r="E157" s="5771" t="s">
        <v>2745</v>
      </c>
      <c r="F157" s="5771" t="s">
        <v>2746</v>
      </c>
      <c r="G157" s="5771" t="s">
        <v>2747</v>
      </c>
      <c r="H157" s="5771" t="s">
        <v>28</v>
      </c>
      <c r="I157" s="5771" t="s">
        <v>1005</v>
      </c>
    </row>
    <row customHeight="1" ht="11.25">
      <c r="A158" s="5771" t="s">
        <v>2364</v>
      </c>
      <c r="B158" s="5771" t="s">
        <v>16</v>
      </c>
      <c r="C158" s="5771" t="s">
        <v>2779</v>
      </c>
      <c r="D158" s="5771" t="s">
        <v>2780</v>
      </c>
      <c r="E158" s="5771" t="s">
        <v>2781</v>
      </c>
      <c r="F158" s="5771" t="s">
        <v>2567</v>
      </c>
      <c r="G158" s="5771" t="s">
        <v>28</v>
      </c>
      <c r="H158" s="5771" t="s">
        <v>28</v>
      </c>
      <c r="I158" s="5771" t="s">
        <v>1005</v>
      </c>
    </row>
    <row customHeight="1" ht="11.25">
      <c r="A159" s="5771" t="s">
        <v>2364</v>
      </c>
      <c r="B159" s="5771" t="s">
        <v>16</v>
      </c>
      <c r="C159" s="5771" t="s">
        <v>2790</v>
      </c>
      <c r="D159" s="5771" t="s">
        <v>2791</v>
      </c>
      <c r="E159" s="5771" t="s">
        <v>2792</v>
      </c>
      <c r="F159" s="5771" t="s">
        <v>2396</v>
      </c>
      <c r="G159" s="5771" t="s">
        <v>28</v>
      </c>
      <c r="H159" s="5771" t="s">
        <v>28</v>
      </c>
      <c r="I159" s="5771" t="s">
        <v>1005</v>
      </c>
    </row>
    <row customHeight="1" ht="11.25">
      <c r="A160" s="5771" t="s">
        <v>2364</v>
      </c>
      <c r="B160" s="5771" t="s">
        <v>16</v>
      </c>
      <c r="C160" s="5771" t="s">
        <v>28</v>
      </c>
      <c r="D160" s="5771" t="s">
        <v>2365</v>
      </c>
      <c r="E160" s="5771" t="s">
        <v>2366</v>
      </c>
      <c r="F160" s="5771" t="s">
        <v>2367</v>
      </c>
      <c r="G160" s="5771" t="s">
        <v>28</v>
      </c>
      <c r="H160" s="5771" t="s">
        <v>28</v>
      </c>
      <c r="I160" s="5771" t="s">
        <v>965</v>
      </c>
    </row>
    <row customHeight="1" ht="11.25">
      <c r="A161" s="5771" t="s">
        <v>2364</v>
      </c>
      <c r="B161" s="5771" t="s">
        <v>16</v>
      </c>
      <c r="C161" s="5771" t="s">
        <v>2368</v>
      </c>
      <c r="D161" s="5771" t="s">
        <v>2369</v>
      </c>
      <c r="E161" s="5771" t="s">
        <v>2370</v>
      </c>
      <c r="F161" s="5771" t="s">
        <v>2371</v>
      </c>
      <c r="G161" s="5771" t="s">
        <v>28</v>
      </c>
      <c r="H161" s="5771" t="s">
        <v>28</v>
      </c>
      <c r="I161" s="5771" t="s">
        <v>965</v>
      </c>
    </row>
    <row customHeight="1" ht="11.25">
      <c r="A162" s="5771" t="s">
        <v>2364</v>
      </c>
      <c r="B162" s="5771" t="s">
        <v>16</v>
      </c>
      <c r="C162" s="5771" t="s">
        <v>2376</v>
      </c>
      <c r="D162" s="5771" t="s">
        <v>2377</v>
      </c>
      <c r="E162" s="5771" t="s">
        <v>2378</v>
      </c>
      <c r="F162" s="5771" t="s">
        <v>2379</v>
      </c>
      <c r="G162" s="5771" t="s">
        <v>28</v>
      </c>
      <c r="H162" s="5771" t="s">
        <v>28</v>
      </c>
      <c r="I162" s="5771" t="s">
        <v>965</v>
      </c>
    </row>
    <row customHeight="1" ht="11.25">
      <c r="A163" s="5771" t="s">
        <v>2364</v>
      </c>
      <c r="B163" s="5771" t="s">
        <v>16</v>
      </c>
      <c r="C163" s="5771" t="s">
        <v>2380</v>
      </c>
      <c r="D163" s="5771" t="s">
        <v>2381</v>
      </c>
      <c r="E163" s="5771" t="s">
        <v>2382</v>
      </c>
      <c r="F163" s="5771" t="s">
        <v>2383</v>
      </c>
      <c r="G163" s="5771" t="s">
        <v>28</v>
      </c>
      <c r="H163" s="5771" t="s">
        <v>28</v>
      </c>
      <c r="I163" s="5771" t="s">
        <v>965</v>
      </c>
    </row>
    <row customHeight="1" ht="11.25">
      <c r="A164" s="5771" t="s">
        <v>2364</v>
      </c>
      <c r="B164" s="5771" t="s">
        <v>16</v>
      </c>
      <c r="C164" s="5771" t="s">
        <v>2384</v>
      </c>
      <c r="D164" s="5771" t="s">
        <v>2381</v>
      </c>
      <c r="E164" s="5771" t="s">
        <v>2382</v>
      </c>
      <c r="F164" s="5771" t="s">
        <v>2385</v>
      </c>
      <c r="G164" s="5771" t="s">
        <v>2386</v>
      </c>
      <c r="H164" s="5771" t="s">
        <v>28</v>
      </c>
      <c r="I164" s="5771" t="s">
        <v>965</v>
      </c>
    </row>
    <row customHeight="1" ht="11.25">
      <c r="A165" s="5771" t="s">
        <v>2364</v>
      </c>
      <c r="B165" s="5771" t="s">
        <v>16</v>
      </c>
      <c r="C165" s="5771" t="s">
        <v>2390</v>
      </c>
      <c r="D165" s="5771" t="s">
        <v>2391</v>
      </c>
      <c r="E165" s="5771" t="s">
        <v>2382</v>
      </c>
      <c r="F165" s="5771" t="s">
        <v>2392</v>
      </c>
      <c r="G165" s="5771" t="s">
        <v>28</v>
      </c>
      <c r="H165" s="5771" t="s">
        <v>28</v>
      </c>
      <c r="I165" s="5771" t="s">
        <v>965</v>
      </c>
    </row>
    <row customHeight="1" ht="11.25">
      <c r="A166" s="5771" t="s">
        <v>2364</v>
      </c>
      <c r="B166" s="5771" t="s">
        <v>16</v>
      </c>
      <c r="C166" s="5771" t="s">
        <v>2393</v>
      </c>
      <c r="D166" s="5771" t="s">
        <v>2394</v>
      </c>
      <c r="E166" s="5771" t="s">
        <v>2395</v>
      </c>
      <c r="F166" s="5771" t="s">
        <v>2396</v>
      </c>
      <c r="G166" s="5771" t="s">
        <v>28</v>
      </c>
      <c r="H166" s="5771" t="s">
        <v>28</v>
      </c>
      <c r="I166" s="5771" t="s">
        <v>965</v>
      </c>
    </row>
    <row customHeight="1" ht="11.25">
      <c r="A167" s="5771" t="s">
        <v>2364</v>
      </c>
      <c r="B167" s="5771" t="s">
        <v>16</v>
      </c>
      <c r="C167" s="5771" t="s">
        <v>2401</v>
      </c>
      <c r="D167" s="5771" t="s">
        <v>2402</v>
      </c>
      <c r="E167" s="5771" t="s">
        <v>2403</v>
      </c>
      <c r="F167" s="5771" t="s">
        <v>2404</v>
      </c>
      <c r="G167" s="5771" t="s">
        <v>28</v>
      </c>
      <c r="H167" s="5771" t="s">
        <v>28</v>
      </c>
      <c r="I167" s="5771" t="s">
        <v>965</v>
      </c>
    </row>
    <row customHeight="1" ht="11.25">
      <c r="A168" s="5771" t="s">
        <v>2364</v>
      </c>
      <c r="B168" s="5771" t="s">
        <v>16</v>
      </c>
      <c r="C168" s="5771" t="s">
        <v>2815</v>
      </c>
      <c r="D168" s="5771" t="s">
        <v>2816</v>
      </c>
      <c r="E168" s="5771" t="s">
        <v>2817</v>
      </c>
      <c r="F168" s="5771" t="s">
        <v>2611</v>
      </c>
      <c r="G168" s="5771" t="s">
        <v>2818</v>
      </c>
      <c r="H168" s="5771" t="s">
        <v>28</v>
      </c>
      <c r="I168" s="5771" t="s">
        <v>965</v>
      </c>
    </row>
    <row customHeight="1" ht="11.25">
      <c r="A169" s="5771" t="s">
        <v>2364</v>
      </c>
      <c r="B169" s="5771" t="s">
        <v>16</v>
      </c>
      <c r="C169" s="5771" t="s">
        <v>2410</v>
      </c>
      <c r="D169" s="5771" t="s">
        <v>2411</v>
      </c>
      <c r="E169" s="5771" t="s">
        <v>2412</v>
      </c>
      <c r="F169" s="5771" t="s">
        <v>2375</v>
      </c>
      <c r="G169" s="5771" t="s">
        <v>28</v>
      </c>
      <c r="H169" s="5771" t="s">
        <v>28</v>
      </c>
      <c r="I169" s="5771" t="s">
        <v>965</v>
      </c>
    </row>
    <row customHeight="1" ht="11.25">
      <c r="A170" s="5771" t="s">
        <v>2364</v>
      </c>
      <c r="B170" s="5771" t="s">
        <v>16</v>
      </c>
      <c r="C170" s="5771" t="s">
        <v>2819</v>
      </c>
      <c r="D170" s="5771" t="s">
        <v>2820</v>
      </c>
      <c r="E170" s="5771" t="s">
        <v>2821</v>
      </c>
      <c r="F170" s="5771" t="s">
        <v>2396</v>
      </c>
      <c r="G170" s="5771" t="s">
        <v>2822</v>
      </c>
      <c r="H170" s="5771" t="s">
        <v>28</v>
      </c>
      <c r="I170" s="5771" t="s">
        <v>965</v>
      </c>
    </row>
    <row customHeight="1" ht="11.25">
      <c r="A171" s="5771" t="s">
        <v>2364</v>
      </c>
      <c r="B171" s="5771" t="s">
        <v>16</v>
      </c>
      <c r="C171" s="5771" t="s">
        <v>2422</v>
      </c>
      <c r="D171" s="5771" t="s">
        <v>2423</v>
      </c>
      <c r="E171" s="5771" t="s">
        <v>2424</v>
      </c>
      <c r="F171" s="5771" t="s">
        <v>2425</v>
      </c>
      <c r="G171" s="5771" t="s">
        <v>2426</v>
      </c>
      <c r="H171" s="5771" t="s">
        <v>28</v>
      </c>
      <c r="I171" s="5771" t="s">
        <v>965</v>
      </c>
    </row>
    <row customHeight="1" ht="11.25">
      <c r="A172" s="5771" t="s">
        <v>2364</v>
      </c>
      <c r="B172" s="5771" t="s">
        <v>16</v>
      </c>
      <c r="C172" s="5771" t="s">
        <v>2823</v>
      </c>
      <c r="D172" s="5771" t="s">
        <v>2824</v>
      </c>
      <c r="E172" s="5771" t="s">
        <v>2825</v>
      </c>
      <c r="F172" s="5771" t="s">
        <v>2375</v>
      </c>
      <c r="G172" s="5771" t="s">
        <v>28</v>
      </c>
      <c r="H172" s="5771" t="s">
        <v>28</v>
      </c>
      <c r="I172" s="5771" t="s">
        <v>965</v>
      </c>
    </row>
    <row customHeight="1" ht="11.25">
      <c r="A173" s="5771" t="s">
        <v>2364</v>
      </c>
      <c r="B173" s="5771" t="s">
        <v>16</v>
      </c>
      <c r="C173" s="5771" t="s">
        <v>2430</v>
      </c>
      <c r="D173" s="5771" t="s">
        <v>2431</v>
      </c>
      <c r="E173" s="5771" t="s">
        <v>2432</v>
      </c>
      <c r="F173" s="5771" t="s">
        <v>2433</v>
      </c>
      <c r="G173" s="5771" t="s">
        <v>28</v>
      </c>
      <c r="H173" s="5771" t="s">
        <v>28</v>
      </c>
      <c r="I173" s="5771" t="s">
        <v>965</v>
      </c>
    </row>
    <row customHeight="1" ht="11.25">
      <c r="A174" s="5771" t="s">
        <v>2364</v>
      </c>
      <c r="B174" s="5771" t="s">
        <v>16</v>
      </c>
      <c r="C174" s="5771" t="s">
        <v>2826</v>
      </c>
      <c r="D174" s="5771" t="s">
        <v>2827</v>
      </c>
      <c r="E174" s="5771" t="s">
        <v>2828</v>
      </c>
      <c r="F174" s="5771" t="s">
        <v>2789</v>
      </c>
      <c r="G174" s="5771" t="s">
        <v>2829</v>
      </c>
      <c r="H174" s="5771" t="s">
        <v>28</v>
      </c>
      <c r="I174" s="5771" t="s">
        <v>965</v>
      </c>
    </row>
    <row customHeight="1" ht="11.25">
      <c r="A175" s="5771" t="s">
        <v>2364</v>
      </c>
      <c r="B175" s="5771" t="s">
        <v>16</v>
      </c>
      <c r="C175" s="5771" t="s">
        <v>2442</v>
      </c>
      <c r="D175" s="5771" t="s">
        <v>2443</v>
      </c>
      <c r="E175" s="5771" t="s">
        <v>2444</v>
      </c>
      <c r="F175" s="5771" t="s">
        <v>2367</v>
      </c>
      <c r="G175" s="5771" t="s">
        <v>2445</v>
      </c>
      <c r="H175" s="5771" t="s">
        <v>28</v>
      </c>
      <c r="I175" s="5771" t="s">
        <v>965</v>
      </c>
    </row>
    <row customHeight="1" ht="11.25">
      <c r="A176" s="5771" t="s">
        <v>2364</v>
      </c>
      <c r="B176" s="5771" t="s">
        <v>16</v>
      </c>
      <c r="C176" s="5771" t="s">
        <v>2830</v>
      </c>
      <c r="D176" s="5771" t="s">
        <v>2831</v>
      </c>
      <c r="E176" s="5771" t="s">
        <v>2832</v>
      </c>
      <c r="F176" s="5771" t="s">
        <v>2833</v>
      </c>
      <c r="G176" s="5771" t="s">
        <v>28</v>
      </c>
      <c r="H176" s="5771" t="s">
        <v>28</v>
      </c>
      <c r="I176" s="5771" t="s">
        <v>965</v>
      </c>
    </row>
    <row customHeight="1" ht="11.25">
      <c r="A177" s="5771" t="s">
        <v>2364</v>
      </c>
      <c r="B177" s="5771" t="s">
        <v>16</v>
      </c>
      <c r="C177" s="5771" t="s">
        <v>2464</v>
      </c>
      <c r="D177" s="5771" t="s">
        <v>2465</v>
      </c>
      <c r="E177" s="5771" t="s">
        <v>2462</v>
      </c>
      <c r="F177" s="5771" t="s">
        <v>2466</v>
      </c>
      <c r="G177" s="5771" t="s">
        <v>28</v>
      </c>
      <c r="H177" s="5771" t="s">
        <v>28</v>
      </c>
      <c r="I177" s="5771" t="s">
        <v>965</v>
      </c>
    </row>
    <row customHeight="1" ht="11.25">
      <c r="A178" s="5771" t="s">
        <v>2364</v>
      </c>
      <c r="B178" s="5771" t="s">
        <v>16</v>
      </c>
      <c r="C178" s="5771" t="s">
        <v>2834</v>
      </c>
      <c r="D178" s="5771" t="s">
        <v>2835</v>
      </c>
      <c r="E178" s="5771" t="s">
        <v>2836</v>
      </c>
      <c r="F178" s="5771" t="s">
        <v>2499</v>
      </c>
      <c r="G178" s="5771" t="s">
        <v>28</v>
      </c>
      <c r="H178" s="5771" t="s">
        <v>28</v>
      </c>
      <c r="I178" s="5771" t="s">
        <v>965</v>
      </c>
    </row>
    <row customHeight="1" ht="11.25">
      <c r="A179" s="5771" t="s">
        <v>2364</v>
      </c>
      <c r="B179" s="5771" t="s">
        <v>16</v>
      </c>
      <c r="C179" s="5771" t="s">
        <v>2475</v>
      </c>
      <c r="D179" s="5771" t="s">
        <v>2476</v>
      </c>
      <c r="E179" s="5771" t="s">
        <v>2477</v>
      </c>
      <c r="F179" s="5771" t="s">
        <v>2416</v>
      </c>
      <c r="G179" s="5771" t="s">
        <v>28</v>
      </c>
      <c r="H179" s="5771" t="s">
        <v>28</v>
      </c>
      <c r="I179" s="5771" t="s">
        <v>965</v>
      </c>
    </row>
    <row customHeight="1" ht="11.25">
      <c r="A180" s="5771" t="s">
        <v>2364</v>
      </c>
      <c r="B180" s="5771" t="s">
        <v>16</v>
      </c>
      <c r="C180" s="5771" t="s">
        <v>2837</v>
      </c>
      <c r="D180" s="5771" t="s">
        <v>2838</v>
      </c>
      <c r="E180" s="5771" t="s">
        <v>2839</v>
      </c>
      <c r="F180" s="5771" t="s">
        <v>687</v>
      </c>
      <c r="G180" s="5771" t="s">
        <v>28</v>
      </c>
      <c r="H180" s="5771" t="s">
        <v>28</v>
      </c>
      <c r="I180" s="5771" t="s">
        <v>965</v>
      </c>
    </row>
    <row customHeight="1" ht="11.25">
      <c r="A181" s="5771" t="s">
        <v>2364</v>
      </c>
      <c r="B181" s="5771" t="s">
        <v>16</v>
      </c>
      <c r="C181" s="5771" t="s">
        <v>2840</v>
      </c>
      <c r="D181" s="5771" t="s">
        <v>2841</v>
      </c>
      <c r="E181" s="5771" t="s">
        <v>2842</v>
      </c>
      <c r="F181" s="5771" t="s">
        <v>687</v>
      </c>
      <c r="G181" s="5771" t="s">
        <v>28</v>
      </c>
      <c r="H181" s="5771" t="s">
        <v>28</v>
      </c>
      <c r="I181" s="5771" t="s">
        <v>965</v>
      </c>
    </row>
    <row customHeight="1" ht="11.25">
      <c r="A182" s="5771" t="s">
        <v>2364</v>
      </c>
      <c r="B182" s="5771" t="s">
        <v>16</v>
      </c>
      <c r="C182" s="5771" t="s">
        <v>2843</v>
      </c>
      <c r="D182" s="5771" t="s">
        <v>2844</v>
      </c>
      <c r="E182" s="5771" t="s">
        <v>2845</v>
      </c>
      <c r="F182" s="5771" t="s">
        <v>687</v>
      </c>
      <c r="G182" s="5771" t="s">
        <v>28</v>
      </c>
      <c r="H182" s="5771" t="s">
        <v>28</v>
      </c>
      <c r="I182" s="5771" t="s">
        <v>965</v>
      </c>
    </row>
    <row customHeight="1" ht="11.25">
      <c r="A183" s="5771" t="s">
        <v>2364</v>
      </c>
      <c r="B183" s="5771" t="s">
        <v>16</v>
      </c>
      <c r="C183" s="5771" t="s">
        <v>2500</v>
      </c>
      <c r="D183" s="5771" t="s">
        <v>2501</v>
      </c>
      <c r="E183" s="5771" t="s">
        <v>2502</v>
      </c>
      <c r="F183" s="5771" t="s">
        <v>2470</v>
      </c>
      <c r="G183" s="5771" t="s">
        <v>28</v>
      </c>
      <c r="H183" s="5771" t="s">
        <v>28</v>
      </c>
      <c r="I183" s="5771" t="s">
        <v>965</v>
      </c>
    </row>
    <row customHeight="1" ht="11.25">
      <c r="A184" s="5771" t="s">
        <v>2364</v>
      </c>
      <c r="B184" s="5771" t="s">
        <v>16</v>
      </c>
      <c r="C184" s="5771" t="s">
        <v>13</v>
      </c>
      <c r="D184" s="5771" t="s">
        <v>47</v>
      </c>
      <c r="E184" s="5771" t="s">
        <v>50</v>
      </c>
      <c r="F184" s="5771" t="s">
        <v>52</v>
      </c>
      <c r="G184" s="5771" t="s">
        <v>28</v>
      </c>
      <c r="H184" s="5771" t="s">
        <v>28</v>
      </c>
      <c r="I184" s="5771" t="s">
        <v>965</v>
      </c>
    </row>
    <row customHeight="1" ht="11.25">
      <c r="A185" s="5771" t="s">
        <v>2364</v>
      </c>
      <c r="B185" s="5771" t="s">
        <v>16</v>
      </c>
      <c r="C185" s="5771" t="s">
        <v>2796</v>
      </c>
      <c r="D185" s="5771" t="s">
        <v>47</v>
      </c>
      <c r="E185" s="5771" t="s">
        <v>50</v>
      </c>
      <c r="F185" s="5771" t="s">
        <v>2797</v>
      </c>
      <c r="G185" s="5771" t="s">
        <v>28</v>
      </c>
      <c r="H185" s="5771" t="s">
        <v>28</v>
      </c>
      <c r="I185" s="5771" t="s">
        <v>965</v>
      </c>
    </row>
    <row customHeight="1" ht="11.25">
      <c r="A186" s="5771" t="s">
        <v>2364</v>
      </c>
      <c r="B186" s="5771" t="s">
        <v>16</v>
      </c>
      <c r="C186" s="5771" t="s">
        <v>2798</v>
      </c>
      <c r="D186" s="5771" t="s">
        <v>47</v>
      </c>
      <c r="E186" s="5771" t="s">
        <v>50</v>
      </c>
      <c r="F186" s="5771" t="s">
        <v>2799</v>
      </c>
      <c r="G186" s="5771" t="s">
        <v>28</v>
      </c>
      <c r="H186" s="5771" t="s">
        <v>28</v>
      </c>
      <c r="I186" s="5771" t="s">
        <v>965</v>
      </c>
    </row>
    <row customHeight="1" ht="11.25">
      <c r="A187" s="5771" t="s">
        <v>2364</v>
      </c>
      <c r="B187" s="5771" t="s">
        <v>16</v>
      </c>
      <c r="C187" s="5771" t="s">
        <v>2800</v>
      </c>
      <c r="D187" s="5771" t="s">
        <v>47</v>
      </c>
      <c r="E187" s="5771" t="s">
        <v>50</v>
      </c>
      <c r="F187" s="5771" t="s">
        <v>2801</v>
      </c>
      <c r="G187" s="5771" t="s">
        <v>28</v>
      </c>
      <c r="H187" s="5771" t="s">
        <v>28</v>
      </c>
      <c r="I187" s="5771" t="s">
        <v>965</v>
      </c>
    </row>
    <row customHeight="1" ht="11.25">
      <c r="A188" s="5771" t="s">
        <v>2364</v>
      </c>
      <c r="B188" s="5771" t="s">
        <v>16</v>
      </c>
      <c r="C188" s="5771" t="s">
        <v>2846</v>
      </c>
      <c r="D188" s="5771" t="s">
        <v>47</v>
      </c>
      <c r="E188" s="5771" t="s">
        <v>50</v>
      </c>
      <c r="F188" s="5771" t="s">
        <v>2847</v>
      </c>
      <c r="G188" s="5771" t="s">
        <v>28</v>
      </c>
      <c r="H188" s="5771" t="s">
        <v>28</v>
      </c>
      <c r="I188" s="5771" t="s">
        <v>965</v>
      </c>
    </row>
    <row customHeight="1" ht="11.25">
      <c r="A189" s="5771" t="s">
        <v>2364</v>
      </c>
      <c r="B189" s="5771" t="s">
        <v>16</v>
      </c>
      <c r="C189" s="5771" t="s">
        <v>2802</v>
      </c>
      <c r="D189" s="5771" t="s">
        <v>47</v>
      </c>
      <c r="E189" s="5771" t="s">
        <v>50</v>
      </c>
      <c r="F189" s="5771" t="s">
        <v>2803</v>
      </c>
      <c r="G189" s="5771" t="s">
        <v>28</v>
      </c>
      <c r="H189" s="5771" t="s">
        <v>28</v>
      </c>
      <c r="I189" s="5771" t="s">
        <v>965</v>
      </c>
    </row>
    <row customHeight="1" ht="11.25">
      <c r="A190" s="5771" t="s">
        <v>2364</v>
      </c>
      <c r="B190" s="5771" t="s">
        <v>16</v>
      </c>
      <c r="C190" s="5771" t="s">
        <v>2804</v>
      </c>
      <c r="D190" s="5771" t="s">
        <v>47</v>
      </c>
      <c r="E190" s="5771" t="s">
        <v>50</v>
      </c>
      <c r="F190" s="5771" t="s">
        <v>2805</v>
      </c>
      <c r="G190" s="5771" t="s">
        <v>28</v>
      </c>
      <c r="H190" s="5771" t="s">
        <v>28</v>
      </c>
      <c r="I190" s="5771" t="s">
        <v>965</v>
      </c>
    </row>
    <row customHeight="1" ht="11.25">
      <c r="A191" s="5771" t="s">
        <v>2364</v>
      </c>
      <c r="B191" s="5771" t="s">
        <v>16</v>
      </c>
      <c r="C191" s="5771" t="s">
        <v>2806</v>
      </c>
      <c r="D191" s="5771" t="s">
        <v>47</v>
      </c>
      <c r="E191" s="5771" t="s">
        <v>50</v>
      </c>
      <c r="F191" s="5771" t="s">
        <v>2807</v>
      </c>
      <c r="G191" s="5771" t="s">
        <v>28</v>
      </c>
      <c r="H191" s="5771" t="s">
        <v>28</v>
      </c>
      <c r="I191" s="5771" t="s">
        <v>965</v>
      </c>
    </row>
    <row customHeight="1" ht="11.25">
      <c r="A192" s="5771" t="s">
        <v>2364</v>
      </c>
      <c r="B192" s="5771" t="s">
        <v>16</v>
      </c>
      <c r="C192" s="5771" t="s">
        <v>2808</v>
      </c>
      <c r="D192" s="5771" t="s">
        <v>47</v>
      </c>
      <c r="E192" s="5771" t="s">
        <v>50</v>
      </c>
      <c r="F192" s="5771" t="s">
        <v>2809</v>
      </c>
      <c r="G192" s="5771" t="s">
        <v>28</v>
      </c>
      <c r="H192" s="5771" t="s">
        <v>28</v>
      </c>
      <c r="I192" s="5771" t="s">
        <v>965</v>
      </c>
    </row>
    <row customHeight="1" ht="11.25">
      <c r="A193" s="5771" t="s">
        <v>2364</v>
      </c>
      <c r="B193" s="5771" t="s">
        <v>16</v>
      </c>
      <c r="C193" s="5771" t="s">
        <v>2810</v>
      </c>
      <c r="D193" s="5771" t="s">
        <v>47</v>
      </c>
      <c r="E193" s="5771" t="s">
        <v>50</v>
      </c>
      <c r="F193" s="5771" t="s">
        <v>2811</v>
      </c>
      <c r="G193" s="5771" t="s">
        <v>28</v>
      </c>
      <c r="H193" s="5771" t="s">
        <v>28</v>
      </c>
      <c r="I193" s="5771" t="s">
        <v>965</v>
      </c>
    </row>
    <row customHeight="1" ht="11.25">
      <c r="A194" s="5771" t="s">
        <v>2364</v>
      </c>
      <c r="B194" s="5771" t="s">
        <v>16</v>
      </c>
      <c r="C194" s="5771" t="s">
        <v>2510</v>
      </c>
      <c r="D194" s="5771" t="s">
        <v>47</v>
      </c>
      <c r="E194" s="5771" t="s">
        <v>50</v>
      </c>
      <c r="F194" s="5771" t="s">
        <v>2509</v>
      </c>
      <c r="G194" s="5771" t="s">
        <v>28</v>
      </c>
      <c r="H194" s="5771" t="s">
        <v>28</v>
      </c>
      <c r="I194" s="5771" t="s">
        <v>965</v>
      </c>
    </row>
    <row customHeight="1" ht="11.25">
      <c r="A195" s="5771" t="s">
        <v>2364</v>
      </c>
      <c r="B195" s="5771" t="s">
        <v>16</v>
      </c>
      <c r="C195" s="5771" t="s">
        <v>2848</v>
      </c>
      <c r="D195" s="5771" t="s">
        <v>2849</v>
      </c>
      <c r="E195" s="5771" t="s">
        <v>2850</v>
      </c>
      <c r="F195" s="5771" t="s">
        <v>2396</v>
      </c>
      <c r="G195" s="5771" t="s">
        <v>28</v>
      </c>
      <c r="H195" s="5771" t="s">
        <v>28</v>
      </c>
      <c r="I195" s="5771" t="s">
        <v>965</v>
      </c>
    </row>
    <row customHeight="1" ht="11.25">
      <c r="A196" s="5771" t="s">
        <v>2364</v>
      </c>
      <c r="B196" s="5771" t="s">
        <v>16</v>
      </c>
      <c r="C196" s="5771" t="s">
        <v>2851</v>
      </c>
      <c r="D196" s="5771" t="s">
        <v>2849</v>
      </c>
      <c r="E196" s="5771" t="s">
        <v>2850</v>
      </c>
      <c r="F196" s="5771" t="s">
        <v>2852</v>
      </c>
      <c r="G196" s="5771" t="s">
        <v>28</v>
      </c>
      <c r="H196" s="5771" t="s">
        <v>28</v>
      </c>
      <c r="I196" s="5771" t="s">
        <v>965</v>
      </c>
    </row>
    <row customHeight="1" ht="11.25">
      <c r="A197" s="5771" t="s">
        <v>2364</v>
      </c>
      <c r="B197" s="5771" t="s">
        <v>16</v>
      </c>
      <c r="C197" s="5771" t="s">
        <v>2853</v>
      </c>
      <c r="D197" s="5771" t="s">
        <v>2813</v>
      </c>
      <c r="E197" s="5771" t="s">
        <v>50</v>
      </c>
      <c r="F197" s="5771" t="s">
        <v>2854</v>
      </c>
      <c r="G197" s="5771" t="s">
        <v>28</v>
      </c>
      <c r="H197" s="5771" t="s">
        <v>28</v>
      </c>
      <c r="I197" s="5771" t="s">
        <v>965</v>
      </c>
    </row>
    <row customHeight="1" ht="11.25">
      <c r="A198" s="5771" t="s">
        <v>2364</v>
      </c>
      <c r="B198" s="5771" t="s">
        <v>16</v>
      </c>
      <c r="C198" s="5771" t="s">
        <v>2812</v>
      </c>
      <c r="D198" s="5771" t="s">
        <v>2813</v>
      </c>
      <c r="E198" s="5771" t="s">
        <v>50</v>
      </c>
      <c r="F198" s="5771" t="s">
        <v>2814</v>
      </c>
      <c r="G198" s="5771" t="s">
        <v>28</v>
      </c>
      <c r="H198" s="5771" t="s">
        <v>28</v>
      </c>
      <c r="I198" s="5771" t="s">
        <v>965</v>
      </c>
    </row>
    <row customHeight="1" ht="11.25">
      <c r="A199" s="5771" t="s">
        <v>2364</v>
      </c>
      <c r="B199" s="5771" t="s">
        <v>16</v>
      </c>
      <c r="C199" s="5771" t="s">
        <v>2855</v>
      </c>
      <c r="D199" s="5771" t="s">
        <v>2856</v>
      </c>
      <c r="E199" s="5771" t="s">
        <v>2857</v>
      </c>
      <c r="F199" s="5771" t="s">
        <v>2404</v>
      </c>
      <c r="G199" s="5771" t="s">
        <v>28</v>
      </c>
      <c r="H199" s="5771" t="s">
        <v>28</v>
      </c>
      <c r="I199" s="5771" t="s">
        <v>965</v>
      </c>
    </row>
    <row customHeight="1" ht="11.25">
      <c r="A200" s="5771" t="s">
        <v>2364</v>
      </c>
      <c r="B200" s="5771" t="s">
        <v>16</v>
      </c>
      <c r="C200" s="5771" t="s">
        <v>2858</v>
      </c>
      <c r="D200" s="5771" t="s">
        <v>2859</v>
      </c>
      <c r="E200" s="5771" t="s">
        <v>2860</v>
      </c>
      <c r="F200" s="5771" t="s">
        <v>2598</v>
      </c>
      <c r="G200" s="5771" t="s">
        <v>28</v>
      </c>
      <c r="H200" s="5771" t="s">
        <v>28</v>
      </c>
      <c r="I200" s="5771" t="s">
        <v>965</v>
      </c>
    </row>
    <row customHeight="1" ht="11.25">
      <c r="A201" s="5771" t="s">
        <v>2364</v>
      </c>
      <c r="B201" s="5771" t="s">
        <v>16</v>
      </c>
      <c r="C201" s="5771" t="s">
        <v>2861</v>
      </c>
      <c r="D201" s="5771" t="s">
        <v>2862</v>
      </c>
      <c r="E201" s="5771" t="s">
        <v>2863</v>
      </c>
      <c r="F201" s="5771" t="s">
        <v>2707</v>
      </c>
      <c r="G201" s="5771" t="s">
        <v>28</v>
      </c>
      <c r="H201" s="5771" t="s">
        <v>28</v>
      </c>
      <c r="I201" s="5771" t="s">
        <v>965</v>
      </c>
    </row>
    <row customHeight="1" ht="11.25">
      <c r="A202" s="5771" t="s">
        <v>2364</v>
      </c>
      <c r="B202" s="5771" t="s">
        <v>16</v>
      </c>
      <c r="C202" s="5771" t="s">
        <v>2864</v>
      </c>
      <c r="D202" s="5771" t="s">
        <v>2865</v>
      </c>
      <c r="E202" s="5771" t="s">
        <v>2866</v>
      </c>
      <c r="F202" s="5771" t="s">
        <v>2425</v>
      </c>
      <c r="G202" s="5771" t="s">
        <v>28</v>
      </c>
      <c r="H202" s="5771" t="s">
        <v>28</v>
      </c>
      <c r="I202" s="5771" t="s">
        <v>965</v>
      </c>
    </row>
    <row customHeight="1" ht="11.25">
      <c r="A203" s="5771" t="s">
        <v>2364</v>
      </c>
      <c r="B203" s="5771" t="s">
        <v>16</v>
      </c>
      <c r="C203" s="5771" t="s">
        <v>2867</v>
      </c>
      <c r="D203" s="5771" t="s">
        <v>2868</v>
      </c>
      <c r="E203" s="5771" t="s">
        <v>2869</v>
      </c>
      <c r="F203" s="5771" t="s">
        <v>2518</v>
      </c>
      <c r="G203" s="5771" t="s">
        <v>28</v>
      </c>
      <c r="H203" s="5771" t="s">
        <v>28</v>
      </c>
      <c r="I203" s="5771" t="s">
        <v>965</v>
      </c>
    </row>
    <row customHeight="1" ht="11.25">
      <c r="A204" s="5771" t="s">
        <v>2364</v>
      </c>
      <c r="B204" s="5771" t="s">
        <v>16</v>
      </c>
      <c r="C204" s="5771" t="s">
        <v>2870</v>
      </c>
      <c r="D204" s="5771" t="s">
        <v>2871</v>
      </c>
      <c r="E204" s="5771" t="s">
        <v>2872</v>
      </c>
      <c r="F204" s="5771" t="s">
        <v>2873</v>
      </c>
      <c r="G204" s="5771" t="s">
        <v>28</v>
      </c>
      <c r="H204" s="5771" t="s">
        <v>28</v>
      </c>
      <c r="I204" s="5771" t="s">
        <v>965</v>
      </c>
    </row>
    <row customHeight="1" ht="11.25">
      <c r="A205" s="5771" t="s">
        <v>2364</v>
      </c>
      <c r="B205" s="5771" t="s">
        <v>16</v>
      </c>
      <c r="C205" s="5771" t="s">
        <v>2874</v>
      </c>
      <c r="D205" s="5771" t="s">
        <v>2875</v>
      </c>
      <c r="E205" s="5771" t="s">
        <v>2876</v>
      </c>
      <c r="F205" s="5771" t="s">
        <v>2425</v>
      </c>
      <c r="G205" s="5771" t="s">
        <v>28</v>
      </c>
      <c r="H205" s="5771" t="s">
        <v>28</v>
      </c>
      <c r="I205" s="5771" t="s">
        <v>965</v>
      </c>
    </row>
    <row customHeight="1" ht="11.25">
      <c r="A206" s="5771" t="s">
        <v>2364</v>
      </c>
      <c r="B206" s="5771" t="s">
        <v>16</v>
      </c>
      <c r="C206" s="5771" t="s">
        <v>2515</v>
      </c>
      <c r="D206" s="5771" t="s">
        <v>2516</v>
      </c>
      <c r="E206" s="5771" t="s">
        <v>2517</v>
      </c>
      <c r="F206" s="5771" t="s">
        <v>2518</v>
      </c>
      <c r="G206" s="5771" t="s">
        <v>28</v>
      </c>
      <c r="H206" s="5771" t="s">
        <v>28</v>
      </c>
      <c r="I206" s="5771" t="s">
        <v>965</v>
      </c>
    </row>
    <row customHeight="1" ht="11.25">
      <c r="A207" s="5771" t="s">
        <v>2364</v>
      </c>
      <c r="B207" s="5771" t="s">
        <v>16</v>
      </c>
      <c r="C207" s="5771" t="s">
        <v>2877</v>
      </c>
      <c r="D207" s="5771" t="s">
        <v>2878</v>
      </c>
      <c r="E207" s="5771" t="s">
        <v>2879</v>
      </c>
      <c r="F207" s="5771" t="s">
        <v>2536</v>
      </c>
      <c r="G207" s="5771" t="s">
        <v>2880</v>
      </c>
      <c r="H207" s="5771" t="s">
        <v>28</v>
      </c>
      <c r="I207" s="5771" t="s">
        <v>965</v>
      </c>
    </row>
    <row customHeight="1" ht="11.25">
      <c r="A208" s="5771" t="s">
        <v>2364</v>
      </c>
      <c r="B208" s="5771" t="s">
        <v>16</v>
      </c>
      <c r="C208" s="5771" t="s">
        <v>2881</v>
      </c>
      <c r="D208" s="5771" t="s">
        <v>2882</v>
      </c>
      <c r="E208" s="5771" t="s">
        <v>2883</v>
      </c>
      <c r="F208" s="5771" t="s">
        <v>2884</v>
      </c>
      <c r="G208" s="5771" t="s">
        <v>28</v>
      </c>
      <c r="H208" s="5771" t="s">
        <v>28</v>
      </c>
      <c r="I208" s="5771" t="s">
        <v>965</v>
      </c>
    </row>
    <row customHeight="1" ht="11.25">
      <c r="A209" s="5771" t="s">
        <v>2364</v>
      </c>
      <c r="B209" s="5771" t="s">
        <v>16</v>
      </c>
      <c r="C209" s="5771" t="s">
        <v>2885</v>
      </c>
      <c r="D209" s="5771" t="s">
        <v>2886</v>
      </c>
      <c r="E209" s="5771" t="s">
        <v>2887</v>
      </c>
      <c r="F209" s="5771" t="s">
        <v>2536</v>
      </c>
      <c r="G209" s="5771" t="s">
        <v>28</v>
      </c>
      <c r="H209" s="5771" t="s">
        <v>28</v>
      </c>
      <c r="I209" s="5771" t="s">
        <v>965</v>
      </c>
    </row>
    <row customHeight="1" ht="11.25">
      <c r="A210" s="5771" t="s">
        <v>2364</v>
      </c>
      <c r="B210" s="5771" t="s">
        <v>16</v>
      </c>
      <c r="C210" s="5771" t="s">
        <v>2888</v>
      </c>
      <c r="D210" s="5771" t="s">
        <v>2889</v>
      </c>
      <c r="E210" s="5771" t="s">
        <v>2890</v>
      </c>
      <c r="F210" s="5771" t="s">
        <v>2404</v>
      </c>
      <c r="G210" s="5771" t="s">
        <v>2891</v>
      </c>
      <c r="H210" s="5771" t="s">
        <v>28</v>
      </c>
      <c r="I210" s="5771" t="s">
        <v>965</v>
      </c>
    </row>
    <row customHeight="1" ht="11.25">
      <c r="A211" s="5771" t="s">
        <v>2364</v>
      </c>
      <c r="B211" s="5771" t="s">
        <v>16</v>
      </c>
      <c r="C211" s="5771" t="s">
        <v>2892</v>
      </c>
      <c r="D211" s="5771" t="s">
        <v>2893</v>
      </c>
      <c r="E211" s="5771" t="s">
        <v>2894</v>
      </c>
      <c r="F211" s="5771" t="s">
        <v>2404</v>
      </c>
      <c r="G211" s="5771" t="s">
        <v>2895</v>
      </c>
      <c r="H211" s="5771" t="s">
        <v>28</v>
      </c>
      <c r="I211" s="5771" t="s">
        <v>965</v>
      </c>
    </row>
    <row customHeight="1" ht="11.25">
      <c r="A212" s="5771" t="s">
        <v>2364</v>
      </c>
      <c r="B212" s="5771" t="s">
        <v>16</v>
      </c>
      <c r="C212" s="5771" t="s">
        <v>2522</v>
      </c>
      <c r="D212" s="5771" t="s">
        <v>2523</v>
      </c>
      <c r="E212" s="5771" t="s">
        <v>2524</v>
      </c>
      <c r="F212" s="5771" t="s">
        <v>2525</v>
      </c>
      <c r="G212" s="5771" t="s">
        <v>28</v>
      </c>
      <c r="H212" s="5771" t="s">
        <v>28</v>
      </c>
      <c r="I212" s="5771" t="s">
        <v>965</v>
      </c>
    </row>
    <row customHeight="1" ht="11.25">
      <c r="A213" s="5771" t="s">
        <v>2364</v>
      </c>
      <c r="B213" s="5771" t="s">
        <v>16</v>
      </c>
      <c r="C213" s="5771" t="s">
        <v>2526</v>
      </c>
      <c r="D213" s="5771" t="s">
        <v>2527</v>
      </c>
      <c r="E213" s="5771" t="s">
        <v>2528</v>
      </c>
      <c r="F213" s="5771" t="s">
        <v>2529</v>
      </c>
      <c r="G213" s="5771" t="s">
        <v>28</v>
      </c>
      <c r="H213" s="5771" t="s">
        <v>28</v>
      </c>
      <c r="I213" s="5771" t="s">
        <v>965</v>
      </c>
    </row>
    <row customHeight="1" ht="11.25">
      <c r="A214" s="5771" t="s">
        <v>2364</v>
      </c>
      <c r="B214" s="5771" t="s">
        <v>16</v>
      </c>
      <c r="C214" s="5771" t="s">
        <v>2530</v>
      </c>
      <c r="D214" s="5771" t="s">
        <v>2531</v>
      </c>
      <c r="E214" s="5771" t="s">
        <v>2532</v>
      </c>
      <c r="F214" s="5771" t="s">
        <v>2529</v>
      </c>
      <c r="G214" s="5771" t="s">
        <v>28</v>
      </c>
      <c r="H214" s="5771" t="s">
        <v>28</v>
      </c>
      <c r="I214" s="5771" t="s">
        <v>965</v>
      </c>
    </row>
    <row customHeight="1" ht="11.25">
      <c r="A215" s="5771" t="s">
        <v>2364</v>
      </c>
      <c r="B215" s="5771" t="s">
        <v>16</v>
      </c>
      <c r="C215" s="5771" t="s">
        <v>2533</v>
      </c>
      <c r="D215" s="5771" t="s">
        <v>2534</v>
      </c>
      <c r="E215" s="5771" t="s">
        <v>2535</v>
      </c>
      <c r="F215" s="5771" t="s">
        <v>2536</v>
      </c>
      <c r="G215" s="5771" t="s">
        <v>28</v>
      </c>
      <c r="H215" s="5771" t="s">
        <v>28</v>
      </c>
      <c r="I215" s="5771" t="s">
        <v>965</v>
      </c>
    </row>
    <row customHeight="1" ht="11.25">
      <c r="A216" s="5771" t="s">
        <v>2364</v>
      </c>
      <c r="B216" s="5771" t="s">
        <v>16</v>
      </c>
      <c r="C216" s="5771" t="s">
        <v>2896</v>
      </c>
      <c r="D216" s="5771" t="s">
        <v>2897</v>
      </c>
      <c r="E216" s="5771" t="s">
        <v>2898</v>
      </c>
      <c r="F216" s="5771" t="s">
        <v>2470</v>
      </c>
      <c r="G216" s="5771" t="s">
        <v>28</v>
      </c>
      <c r="H216" s="5771" t="s">
        <v>28</v>
      </c>
      <c r="I216" s="5771" t="s">
        <v>965</v>
      </c>
    </row>
    <row customHeight="1" ht="11.25">
      <c r="A217" s="5771" t="s">
        <v>2364</v>
      </c>
      <c r="B217" s="5771" t="s">
        <v>16</v>
      </c>
      <c r="C217" s="5771" t="s">
        <v>2899</v>
      </c>
      <c r="D217" s="5771" t="s">
        <v>2900</v>
      </c>
      <c r="E217" s="5771" t="s">
        <v>2901</v>
      </c>
      <c r="F217" s="5771" t="s">
        <v>2433</v>
      </c>
      <c r="G217" s="5771" t="s">
        <v>2902</v>
      </c>
      <c r="H217" s="5771" t="s">
        <v>28</v>
      </c>
      <c r="I217" s="5771" t="s">
        <v>965</v>
      </c>
    </row>
    <row customHeight="1" ht="11.25">
      <c r="A218" s="5771" t="s">
        <v>2364</v>
      </c>
      <c r="B218" s="5771" t="s">
        <v>16</v>
      </c>
      <c r="C218" s="5771" t="s">
        <v>2903</v>
      </c>
      <c r="D218" s="5771" t="s">
        <v>2904</v>
      </c>
      <c r="E218" s="5771" t="s">
        <v>2905</v>
      </c>
      <c r="F218" s="5771" t="s">
        <v>2491</v>
      </c>
      <c r="G218" s="5771" t="s">
        <v>2906</v>
      </c>
      <c r="H218" s="5771" t="s">
        <v>28</v>
      </c>
      <c r="I218" s="5771" t="s">
        <v>965</v>
      </c>
    </row>
    <row customHeight="1" ht="11.25">
      <c r="A219" s="5771" t="s">
        <v>2364</v>
      </c>
      <c r="B219" s="5771" t="s">
        <v>16</v>
      </c>
      <c r="C219" s="5771" t="s">
        <v>2537</v>
      </c>
      <c r="D219" s="5771" t="s">
        <v>2538</v>
      </c>
      <c r="E219" s="5771" t="s">
        <v>2539</v>
      </c>
      <c r="F219" s="5771" t="s">
        <v>2404</v>
      </c>
      <c r="G219" s="5771" t="s">
        <v>28</v>
      </c>
      <c r="H219" s="5771" t="s">
        <v>28</v>
      </c>
      <c r="I219" s="5771" t="s">
        <v>965</v>
      </c>
    </row>
    <row customHeight="1" ht="11.25">
      <c r="A220" s="5771" t="s">
        <v>2364</v>
      </c>
      <c r="B220" s="5771" t="s">
        <v>16</v>
      </c>
      <c r="C220" s="5771" t="s">
        <v>2907</v>
      </c>
      <c r="D220" s="5771" t="s">
        <v>2908</v>
      </c>
      <c r="E220" s="5771" t="s">
        <v>2909</v>
      </c>
      <c r="F220" s="5771" t="s">
        <v>2873</v>
      </c>
      <c r="G220" s="5771" t="s">
        <v>28</v>
      </c>
      <c r="H220" s="5771" t="s">
        <v>28</v>
      </c>
      <c r="I220" s="5771" t="s">
        <v>965</v>
      </c>
    </row>
    <row customHeight="1" ht="11.25">
      <c r="A221" s="5771" t="s">
        <v>2364</v>
      </c>
      <c r="B221" s="5771" t="s">
        <v>16</v>
      </c>
      <c r="C221" s="5771" t="s">
        <v>2540</v>
      </c>
      <c r="D221" s="5771" t="s">
        <v>2541</v>
      </c>
      <c r="E221" s="5771" t="s">
        <v>2542</v>
      </c>
      <c r="F221" s="5771" t="s">
        <v>2525</v>
      </c>
      <c r="G221" s="5771" t="s">
        <v>28</v>
      </c>
      <c r="H221" s="5771" t="s">
        <v>28</v>
      </c>
      <c r="I221" s="5771" t="s">
        <v>965</v>
      </c>
    </row>
    <row customHeight="1" ht="11.25">
      <c r="A222" s="5771" t="s">
        <v>2364</v>
      </c>
      <c r="B222" s="5771" t="s">
        <v>16</v>
      </c>
      <c r="C222" s="5771" t="s">
        <v>2910</v>
      </c>
      <c r="D222" s="5771" t="s">
        <v>2911</v>
      </c>
      <c r="E222" s="5771" t="s">
        <v>2912</v>
      </c>
      <c r="F222" s="5771" t="s">
        <v>2433</v>
      </c>
      <c r="G222" s="5771" t="s">
        <v>28</v>
      </c>
      <c r="H222" s="5771" t="s">
        <v>28</v>
      </c>
      <c r="I222" s="5771" t="s">
        <v>965</v>
      </c>
    </row>
    <row customHeight="1" ht="11.25">
      <c r="A223" s="5771" t="s">
        <v>2364</v>
      </c>
      <c r="B223" s="5771" t="s">
        <v>16</v>
      </c>
      <c r="C223" s="5771" t="s">
        <v>2913</v>
      </c>
      <c r="D223" s="5771" t="s">
        <v>2914</v>
      </c>
      <c r="E223" s="5771" t="s">
        <v>2915</v>
      </c>
      <c r="F223" s="5771" t="s">
        <v>2789</v>
      </c>
      <c r="G223" s="5771" t="s">
        <v>28</v>
      </c>
      <c r="H223" s="5771" t="s">
        <v>28</v>
      </c>
      <c r="I223" s="5771" t="s">
        <v>965</v>
      </c>
    </row>
    <row customHeight="1" ht="11.25">
      <c r="A224" s="5771" t="s">
        <v>2364</v>
      </c>
      <c r="B224" s="5771" t="s">
        <v>16</v>
      </c>
      <c r="C224" s="5771" t="s">
        <v>2916</v>
      </c>
      <c r="D224" s="5771" t="s">
        <v>2917</v>
      </c>
      <c r="E224" s="5771" t="s">
        <v>2918</v>
      </c>
      <c r="F224" s="5771" t="s">
        <v>2371</v>
      </c>
      <c r="G224" s="5771" t="s">
        <v>28</v>
      </c>
      <c r="H224" s="5771" t="s">
        <v>28</v>
      </c>
      <c r="I224" s="5771" t="s">
        <v>965</v>
      </c>
    </row>
    <row customHeight="1" ht="11.25">
      <c r="A225" s="5771" t="s">
        <v>2364</v>
      </c>
      <c r="B225" s="5771" t="s">
        <v>16</v>
      </c>
      <c r="C225" s="5771" t="s">
        <v>2543</v>
      </c>
      <c r="D225" s="5771" t="s">
        <v>2544</v>
      </c>
      <c r="E225" s="5771" t="s">
        <v>2545</v>
      </c>
      <c r="F225" s="5771" t="s">
        <v>2546</v>
      </c>
      <c r="G225" s="5771" t="s">
        <v>28</v>
      </c>
      <c r="H225" s="5771" t="s">
        <v>28</v>
      </c>
      <c r="I225" s="5771" t="s">
        <v>965</v>
      </c>
    </row>
    <row customHeight="1" ht="11.25">
      <c r="A226" s="5771" t="s">
        <v>2364</v>
      </c>
      <c r="B226" s="5771" t="s">
        <v>16</v>
      </c>
      <c r="C226" s="5771" t="s">
        <v>2919</v>
      </c>
      <c r="D226" s="5771" t="s">
        <v>2920</v>
      </c>
      <c r="E226" s="5771" t="s">
        <v>2921</v>
      </c>
      <c r="F226" s="5771" t="s">
        <v>2789</v>
      </c>
      <c r="G226" s="5771" t="s">
        <v>28</v>
      </c>
      <c r="H226" s="5771" t="s">
        <v>28</v>
      </c>
      <c r="I226" s="5771" t="s">
        <v>965</v>
      </c>
    </row>
    <row customHeight="1" ht="11.25">
      <c r="A227" s="5771" t="s">
        <v>2364</v>
      </c>
      <c r="B227" s="5771" t="s">
        <v>16</v>
      </c>
      <c r="C227" s="5771" t="s">
        <v>2547</v>
      </c>
      <c r="D227" s="5771" t="s">
        <v>2548</v>
      </c>
      <c r="E227" s="5771" t="s">
        <v>2549</v>
      </c>
      <c r="F227" s="5771" t="s">
        <v>2509</v>
      </c>
      <c r="G227" s="5771" t="s">
        <v>28</v>
      </c>
      <c r="H227" s="5771" t="s">
        <v>28</v>
      </c>
      <c r="I227" s="5771" t="s">
        <v>965</v>
      </c>
    </row>
    <row customHeight="1" ht="11.25">
      <c r="A228" s="5771" t="s">
        <v>2364</v>
      </c>
      <c r="B228" s="5771" t="s">
        <v>16</v>
      </c>
      <c r="C228" s="5771" t="s">
        <v>2557</v>
      </c>
      <c r="D228" s="5771" t="s">
        <v>2558</v>
      </c>
      <c r="E228" s="5771" t="s">
        <v>2559</v>
      </c>
      <c r="F228" s="5771" t="s">
        <v>2560</v>
      </c>
      <c r="G228" s="5771" t="s">
        <v>28</v>
      </c>
      <c r="H228" s="5771" t="s">
        <v>28</v>
      </c>
      <c r="I228" s="5771" t="s">
        <v>965</v>
      </c>
    </row>
    <row customHeight="1" ht="11.25">
      <c r="A229" s="5771" t="s">
        <v>2364</v>
      </c>
      <c r="B229" s="5771" t="s">
        <v>16</v>
      </c>
      <c r="C229" s="5771" t="s">
        <v>2922</v>
      </c>
      <c r="D229" s="5771" t="s">
        <v>2923</v>
      </c>
      <c r="E229" s="5771" t="s">
        <v>2382</v>
      </c>
      <c r="F229" s="5771" t="s">
        <v>2924</v>
      </c>
      <c r="G229" s="5771" t="s">
        <v>28</v>
      </c>
      <c r="H229" s="5771" t="s">
        <v>28</v>
      </c>
      <c r="I229" s="5771" t="s">
        <v>965</v>
      </c>
    </row>
    <row customHeight="1" ht="11.25">
      <c r="A230" s="5771" t="s">
        <v>2364</v>
      </c>
      <c r="B230" s="5771" t="s">
        <v>16</v>
      </c>
      <c r="C230" s="5771" t="s">
        <v>2925</v>
      </c>
      <c r="D230" s="5771" t="s">
        <v>2926</v>
      </c>
      <c r="E230" s="5771" t="s">
        <v>2927</v>
      </c>
      <c r="F230" s="5771" t="s">
        <v>2371</v>
      </c>
      <c r="G230" s="5771" t="s">
        <v>28</v>
      </c>
      <c r="H230" s="5771" t="s">
        <v>28</v>
      </c>
      <c r="I230" s="5771" t="s">
        <v>965</v>
      </c>
    </row>
    <row customHeight="1" ht="11.25">
      <c r="A231" s="5771" t="s">
        <v>2364</v>
      </c>
      <c r="B231" s="5771" t="s">
        <v>16</v>
      </c>
      <c r="C231" s="5771" t="s">
        <v>2580</v>
      </c>
      <c r="D231" s="5771" t="s">
        <v>2581</v>
      </c>
      <c r="E231" s="5771" t="s">
        <v>2582</v>
      </c>
      <c r="F231" s="5771" t="s">
        <v>2529</v>
      </c>
      <c r="G231" s="5771" t="s">
        <v>28</v>
      </c>
      <c r="H231" s="5771" t="s">
        <v>28</v>
      </c>
      <c r="I231" s="5771" t="s">
        <v>965</v>
      </c>
    </row>
    <row customHeight="1" ht="11.25">
      <c r="A232" s="5771" t="s">
        <v>2364</v>
      </c>
      <c r="B232" s="5771" t="s">
        <v>16</v>
      </c>
      <c r="C232" s="5771" t="s">
        <v>2928</v>
      </c>
      <c r="D232" s="5771" t="s">
        <v>2929</v>
      </c>
      <c r="E232" s="5771" t="s">
        <v>2930</v>
      </c>
      <c r="F232" s="5771" t="s">
        <v>2404</v>
      </c>
      <c r="G232" s="5771" t="s">
        <v>2931</v>
      </c>
      <c r="H232" s="5771" t="s">
        <v>28</v>
      </c>
      <c r="I232" s="5771" t="s">
        <v>965</v>
      </c>
    </row>
    <row customHeight="1" ht="11.25">
      <c r="A233" s="5771" t="s">
        <v>2364</v>
      </c>
      <c r="B233" s="5771" t="s">
        <v>16</v>
      </c>
      <c r="C233" s="5771" t="s">
        <v>2932</v>
      </c>
      <c r="D233" s="5771" t="s">
        <v>2933</v>
      </c>
      <c r="E233" s="5771" t="s">
        <v>2934</v>
      </c>
      <c r="F233" s="5771" t="s">
        <v>2416</v>
      </c>
      <c r="G233" s="5771" t="s">
        <v>2935</v>
      </c>
      <c r="H233" s="5771" t="s">
        <v>28</v>
      </c>
      <c r="I233" s="5771" t="s">
        <v>965</v>
      </c>
    </row>
    <row customHeight="1" ht="11.25">
      <c r="A234" s="5771" t="s">
        <v>2364</v>
      </c>
      <c r="B234" s="5771" t="s">
        <v>16</v>
      </c>
      <c r="C234" s="5771" t="s">
        <v>2936</v>
      </c>
      <c r="D234" s="5771" t="s">
        <v>2937</v>
      </c>
      <c r="E234" s="5771" t="s">
        <v>2938</v>
      </c>
      <c r="F234" s="5771" t="s">
        <v>2686</v>
      </c>
      <c r="G234" s="5771" t="s">
        <v>2939</v>
      </c>
      <c r="H234" s="5771" t="s">
        <v>28</v>
      </c>
      <c r="I234" s="5771" t="s">
        <v>965</v>
      </c>
    </row>
    <row customHeight="1" ht="11.25">
      <c r="A235" s="5771" t="s">
        <v>2364</v>
      </c>
      <c r="B235" s="5771" t="s">
        <v>16</v>
      </c>
      <c r="C235" s="5771" t="s">
        <v>2940</v>
      </c>
      <c r="D235" s="5771" t="s">
        <v>2941</v>
      </c>
      <c r="E235" s="5771" t="s">
        <v>2942</v>
      </c>
      <c r="F235" s="5771" t="s">
        <v>2943</v>
      </c>
      <c r="G235" s="5771" t="s">
        <v>28</v>
      </c>
      <c r="H235" s="5771" t="s">
        <v>28</v>
      </c>
      <c r="I235" s="5771" t="s">
        <v>965</v>
      </c>
    </row>
    <row customHeight="1" ht="11.25">
      <c r="A236" s="5771" t="s">
        <v>2364</v>
      </c>
      <c r="B236" s="5771" t="s">
        <v>16</v>
      </c>
      <c r="C236" s="5771" t="s">
        <v>2944</v>
      </c>
      <c r="D236" s="5771" t="s">
        <v>2945</v>
      </c>
      <c r="E236" s="5771" t="s">
        <v>2946</v>
      </c>
      <c r="F236" s="5771" t="s">
        <v>2375</v>
      </c>
      <c r="G236" s="5771" t="s">
        <v>2947</v>
      </c>
      <c r="H236" s="5771" t="s">
        <v>28</v>
      </c>
      <c r="I236" s="5771" t="s">
        <v>965</v>
      </c>
    </row>
    <row customHeight="1" ht="11.25">
      <c r="A237" s="5771" t="s">
        <v>2364</v>
      </c>
      <c r="B237" s="5771" t="s">
        <v>16</v>
      </c>
      <c r="C237" s="5771" t="s">
        <v>2948</v>
      </c>
      <c r="D237" s="5771" t="s">
        <v>2949</v>
      </c>
      <c r="E237" s="5771" t="s">
        <v>2950</v>
      </c>
      <c r="F237" s="5771" t="s">
        <v>2396</v>
      </c>
      <c r="G237" s="5771" t="s">
        <v>28</v>
      </c>
      <c r="H237" s="5771" t="s">
        <v>28</v>
      </c>
      <c r="I237" s="5771" t="s">
        <v>965</v>
      </c>
    </row>
    <row customHeight="1" ht="11.25">
      <c r="A238" s="5771" t="s">
        <v>2364</v>
      </c>
      <c r="B238" s="5771" t="s">
        <v>16</v>
      </c>
      <c r="C238" s="5771" t="s">
        <v>2951</v>
      </c>
      <c r="D238" s="5771" t="s">
        <v>2952</v>
      </c>
      <c r="E238" s="5771" t="s">
        <v>2953</v>
      </c>
      <c r="F238" s="5771" t="s">
        <v>2954</v>
      </c>
      <c r="G238" s="5771" t="s">
        <v>28</v>
      </c>
      <c r="H238" s="5771" t="s">
        <v>28</v>
      </c>
      <c r="I238" s="5771" t="s">
        <v>965</v>
      </c>
    </row>
    <row customHeight="1" ht="11.25">
      <c r="A239" s="5771" t="s">
        <v>2364</v>
      </c>
      <c r="B239" s="5771" t="s">
        <v>16</v>
      </c>
      <c r="C239" s="5771" t="s">
        <v>2955</v>
      </c>
      <c r="D239" s="5771" t="s">
        <v>2956</v>
      </c>
      <c r="E239" s="5771" t="s">
        <v>2957</v>
      </c>
      <c r="F239" s="5771" t="s">
        <v>2763</v>
      </c>
      <c r="G239" s="5771" t="s">
        <v>28</v>
      </c>
      <c r="H239" s="5771" t="s">
        <v>28</v>
      </c>
      <c r="I239" s="5771" t="s">
        <v>965</v>
      </c>
    </row>
    <row customHeight="1" ht="11.25">
      <c r="A240" s="5771" t="s">
        <v>2364</v>
      </c>
      <c r="B240" s="5771" t="s">
        <v>16</v>
      </c>
      <c r="C240" s="5771" t="s">
        <v>2958</v>
      </c>
      <c r="D240" s="5771" t="s">
        <v>2959</v>
      </c>
      <c r="E240" s="5771" t="s">
        <v>2960</v>
      </c>
      <c r="F240" s="5771" t="s">
        <v>2789</v>
      </c>
      <c r="G240" s="5771" t="s">
        <v>2961</v>
      </c>
      <c r="H240" s="5771" t="s">
        <v>28</v>
      </c>
      <c r="I240" s="5771" t="s">
        <v>965</v>
      </c>
    </row>
    <row customHeight="1" ht="11.25">
      <c r="A241" s="5771" t="s">
        <v>2364</v>
      </c>
      <c r="B241" s="5771" t="s">
        <v>16</v>
      </c>
      <c r="C241" s="5771" t="s">
        <v>2595</v>
      </c>
      <c r="D241" s="5771" t="s">
        <v>2596</v>
      </c>
      <c r="E241" s="5771" t="s">
        <v>2597</v>
      </c>
      <c r="F241" s="5771" t="s">
        <v>2598</v>
      </c>
      <c r="G241" s="5771" t="s">
        <v>2599</v>
      </c>
      <c r="H241" s="5771" t="s">
        <v>28</v>
      </c>
      <c r="I241" s="5771" t="s">
        <v>965</v>
      </c>
    </row>
    <row customHeight="1" ht="11.25">
      <c r="A242" s="5771" t="s">
        <v>2364</v>
      </c>
      <c r="B242" s="5771" t="s">
        <v>16</v>
      </c>
      <c r="C242" s="5771" t="s">
        <v>2962</v>
      </c>
      <c r="D242" s="5771" t="s">
        <v>2963</v>
      </c>
      <c r="E242" s="5771" t="s">
        <v>2964</v>
      </c>
      <c r="F242" s="5771" t="s">
        <v>2404</v>
      </c>
      <c r="G242" s="5771" t="s">
        <v>28</v>
      </c>
      <c r="H242" s="5771" t="s">
        <v>28</v>
      </c>
      <c r="I242" s="5771" t="s">
        <v>965</v>
      </c>
    </row>
    <row customHeight="1" ht="11.25">
      <c r="A243" s="5771" t="s">
        <v>2364</v>
      </c>
      <c r="B243" s="5771" t="s">
        <v>16</v>
      </c>
      <c r="C243" s="5771" t="s">
        <v>2965</v>
      </c>
      <c r="D243" s="5771" t="s">
        <v>2966</v>
      </c>
      <c r="E243" s="5771" t="s">
        <v>2967</v>
      </c>
      <c r="F243" s="5771" t="s">
        <v>2598</v>
      </c>
      <c r="G243" s="5771" t="s">
        <v>28</v>
      </c>
      <c r="H243" s="5771" t="s">
        <v>28</v>
      </c>
      <c r="I243" s="5771" t="s">
        <v>965</v>
      </c>
    </row>
    <row customHeight="1" ht="11.25">
      <c r="A244" s="5771" t="s">
        <v>2364</v>
      </c>
      <c r="B244" s="5771" t="s">
        <v>16</v>
      </c>
      <c r="C244" s="5771" t="s">
        <v>2968</v>
      </c>
      <c r="D244" s="5771" t="s">
        <v>2969</v>
      </c>
      <c r="E244" s="5771" t="s">
        <v>2970</v>
      </c>
      <c r="F244" s="5771" t="s">
        <v>2367</v>
      </c>
      <c r="G244" s="5771" t="s">
        <v>28</v>
      </c>
      <c r="H244" s="5771" t="s">
        <v>28</v>
      </c>
      <c r="I244" s="5771" t="s">
        <v>965</v>
      </c>
    </row>
    <row customHeight="1" ht="11.25">
      <c r="A245" s="5771" t="s">
        <v>2364</v>
      </c>
      <c r="B245" s="5771" t="s">
        <v>16</v>
      </c>
      <c r="C245" s="5771" t="s">
        <v>2608</v>
      </c>
      <c r="D245" s="5771" t="s">
        <v>2609</v>
      </c>
      <c r="E245" s="5771" t="s">
        <v>2610</v>
      </c>
      <c r="F245" s="5771" t="s">
        <v>2611</v>
      </c>
      <c r="G245" s="5771" t="s">
        <v>28</v>
      </c>
      <c r="H245" s="5771" t="s">
        <v>28</v>
      </c>
      <c r="I245" s="5771" t="s">
        <v>965</v>
      </c>
    </row>
    <row customHeight="1" ht="11.25">
      <c r="A246" s="5771" t="s">
        <v>2364</v>
      </c>
      <c r="B246" s="5771" t="s">
        <v>16</v>
      </c>
      <c r="C246" s="5771" t="s">
        <v>2971</v>
      </c>
      <c r="D246" s="5771" t="s">
        <v>2972</v>
      </c>
      <c r="E246" s="5771" t="s">
        <v>2973</v>
      </c>
      <c r="F246" s="5771" t="s">
        <v>2371</v>
      </c>
      <c r="G246" s="5771" t="s">
        <v>28</v>
      </c>
      <c r="H246" s="5771" t="s">
        <v>28</v>
      </c>
      <c r="I246" s="5771" t="s">
        <v>965</v>
      </c>
    </row>
    <row customHeight="1" ht="11.25">
      <c r="A247" s="5771" t="s">
        <v>2364</v>
      </c>
      <c r="B247" s="5771" t="s">
        <v>16</v>
      </c>
      <c r="C247" s="5771" t="s">
        <v>2612</v>
      </c>
      <c r="D247" s="5771" t="s">
        <v>2613</v>
      </c>
      <c r="E247" s="5771" t="s">
        <v>2614</v>
      </c>
      <c r="F247" s="5771" t="s">
        <v>2598</v>
      </c>
      <c r="G247" s="5771" t="s">
        <v>28</v>
      </c>
      <c r="H247" s="5771" t="s">
        <v>28</v>
      </c>
      <c r="I247" s="5771" t="s">
        <v>965</v>
      </c>
    </row>
    <row customHeight="1" ht="11.25">
      <c r="A248" s="5771" t="s">
        <v>2364</v>
      </c>
      <c r="B248" s="5771" t="s">
        <v>16</v>
      </c>
      <c r="C248" s="5771" t="s">
        <v>2618</v>
      </c>
      <c r="D248" s="5771" t="s">
        <v>2619</v>
      </c>
      <c r="E248" s="5771" t="s">
        <v>2620</v>
      </c>
      <c r="F248" s="5771" t="s">
        <v>2598</v>
      </c>
      <c r="G248" s="5771" t="s">
        <v>28</v>
      </c>
      <c r="H248" s="5771" t="s">
        <v>28</v>
      </c>
      <c r="I248" s="5771" t="s">
        <v>965</v>
      </c>
    </row>
    <row customHeight="1" ht="11.25">
      <c r="A249" s="5771" t="s">
        <v>2364</v>
      </c>
      <c r="B249" s="5771" t="s">
        <v>16</v>
      </c>
      <c r="C249" s="5771" t="s">
        <v>2974</v>
      </c>
      <c r="D249" s="5771" t="s">
        <v>2975</v>
      </c>
      <c r="E249" s="5771" t="s">
        <v>2976</v>
      </c>
      <c r="F249" s="5771" t="s">
        <v>2598</v>
      </c>
      <c r="G249" s="5771" t="s">
        <v>28</v>
      </c>
      <c r="H249" s="5771" t="s">
        <v>28</v>
      </c>
      <c r="I249" s="5771" t="s">
        <v>965</v>
      </c>
    </row>
    <row customHeight="1" ht="11.25">
      <c r="A250" s="5771" t="s">
        <v>2364</v>
      </c>
      <c r="B250" s="5771" t="s">
        <v>16</v>
      </c>
      <c r="C250" s="5771" t="s">
        <v>2977</v>
      </c>
      <c r="D250" s="5771" t="s">
        <v>2978</v>
      </c>
      <c r="E250" s="5771" t="s">
        <v>2979</v>
      </c>
      <c r="F250" s="5771" t="s">
        <v>2546</v>
      </c>
      <c r="G250" s="5771" t="s">
        <v>2980</v>
      </c>
      <c r="H250" s="5771" t="s">
        <v>28</v>
      </c>
      <c r="I250" s="5771" t="s">
        <v>965</v>
      </c>
    </row>
    <row customHeight="1" ht="11.25">
      <c r="A251" s="5771" t="s">
        <v>2364</v>
      </c>
      <c r="B251" s="5771" t="s">
        <v>16</v>
      </c>
      <c r="C251" s="5771" t="s">
        <v>2981</v>
      </c>
      <c r="D251" s="5771" t="s">
        <v>2982</v>
      </c>
      <c r="E251" s="5771" t="s">
        <v>2983</v>
      </c>
      <c r="F251" s="5771" t="s">
        <v>2371</v>
      </c>
      <c r="G251" s="5771" t="s">
        <v>2984</v>
      </c>
      <c r="H251" s="5771" t="s">
        <v>28</v>
      </c>
      <c r="I251" s="5771" t="s">
        <v>965</v>
      </c>
    </row>
    <row customHeight="1" ht="11.25">
      <c r="A252" s="5771" t="s">
        <v>2364</v>
      </c>
      <c r="B252" s="5771" t="s">
        <v>16</v>
      </c>
      <c r="C252" s="5771" t="s">
        <v>2985</v>
      </c>
      <c r="D252" s="5771" t="s">
        <v>2986</v>
      </c>
      <c r="E252" s="5771" t="s">
        <v>2987</v>
      </c>
      <c r="F252" s="5771" t="s">
        <v>2499</v>
      </c>
      <c r="G252" s="5771" t="s">
        <v>28</v>
      </c>
      <c r="H252" s="5771" t="s">
        <v>28</v>
      </c>
      <c r="I252" s="5771" t="s">
        <v>965</v>
      </c>
    </row>
    <row customHeight="1" ht="11.25">
      <c r="A253" s="5771" t="s">
        <v>2364</v>
      </c>
      <c r="B253" s="5771" t="s">
        <v>16</v>
      </c>
      <c r="C253" s="5771" t="s">
        <v>2988</v>
      </c>
      <c r="D253" s="5771" t="s">
        <v>2989</v>
      </c>
      <c r="E253" s="5771" t="s">
        <v>2990</v>
      </c>
      <c r="F253" s="5771" t="s">
        <v>2789</v>
      </c>
      <c r="G253" s="5771" t="s">
        <v>2991</v>
      </c>
      <c r="H253" s="5771" t="s">
        <v>28</v>
      </c>
      <c r="I253" s="5771" t="s">
        <v>965</v>
      </c>
    </row>
    <row customHeight="1" ht="11.25">
      <c r="A254" s="5771" t="s">
        <v>2364</v>
      </c>
      <c r="B254" s="5771" t="s">
        <v>16</v>
      </c>
      <c r="C254" s="5771" t="s">
        <v>2992</v>
      </c>
      <c r="D254" s="5771" t="s">
        <v>2993</v>
      </c>
      <c r="E254" s="5771" t="s">
        <v>2994</v>
      </c>
      <c r="F254" s="5771" t="s">
        <v>2425</v>
      </c>
      <c r="G254" s="5771" t="s">
        <v>2995</v>
      </c>
      <c r="H254" s="5771" t="s">
        <v>28</v>
      </c>
      <c r="I254" s="5771" t="s">
        <v>965</v>
      </c>
    </row>
    <row customHeight="1" ht="11.25">
      <c r="A255" s="5771" t="s">
        <v>2364</v>
      </c>
      <c r="B255" s="5771" t="s">
        <v>16</v>
      </c>
      <c r="C255" s="5771" t="s">
        <v>2996</v>
      </c>
      <c r="D255" s="5771" t="s">
        <v>2997</v>
      </c>
      <c r="E255" s="5771" t="s">
        <v>2998</v>
      </c>
      <c r="F255" s="5771" t="s">
        <v>2686</v>
      </c>
      <c r="G255" s="5771" t="s">
        <v>2999</v>
      </c>
      <c r="H255" s="5771" t="s">
        <v>28</v>
      </c>
      <c r="I255" s="5771" t="s">
        <v>965</v>
      </c>
    </row>
    <row customHeight="1" ht="11.25">
      <c r="A256" s="5771" t="s">
        <v>2364</v>
      </c>
      <c r="B256" s="5771" t="s">
        <v>16</v>
      </c>
      <c r="C256" s="5771" t="s">
        <v>2630</v>
      </c>
      <c r="D256" s="5771" t="s">
        <v>2631</v>
      </c>
      <c r="E256" s="5771" t="s">
        <v>2632</v>
      </c>
      <c r="F256" s="5771" t="s">
        <v>2598</v>
      </c>
      <c r="G256" s="5771" t="s">
        <v>28</v>
      </c>
      <c r="H256" s="5771" t="s">
        <v>28</v>
      </c>
      <c r="I256" s="5771" t="s">
        <v>965</v>
      </c>
    </row>
    <row customHeight="1" ht="11.25">
      <c r="A257" s="5771" t="s">
        <v>2364</v>
      </c>
      <c r="B257" s="5771" t="s">
        <v>16</v>
      </c>
      <c r="C257" s="5771" t="s">
        <v>3000</v>
      </c>
      <c r="D257" s="5771" t="s">
        <v>3001</v>
      </c>
      <c r="E257" s="5771" t="s">
        <v>3002</v>
      </c>
      <c r="F257" s="5771" t="s">
        <v>2546</v>
      </c>
      <c r="G257" s="5771" t="s">
        <v>28</v>
      </c>
      <c r="H257" s="5771" t="s">
        <v>28</v>
      </c>
      <c r="I257" s="5771" t="s">
        <v>965</v>
      </c>
    </row>
    <row customHeight="1" ht="11.25">
      <c r="A258" s="5771" t="s">
        <v>2364</v>
      </c>
      <c r="B258" s="5771" t="s">
        <v>16</v>
      </c>
      <c r="C258" s="5771" t="s">
        <v>2643</v>
      </c>
      <c r="D258" s="5771" t="s">
        <v>2644</v>
      </c>
      <c r="E258" s="5771" t="s">
        <v>2645</v>
      </c>
      <c r="F258" s="5771" t="s">
        <v>2404</v>
      </c>
      <c r="G258" s="5771" t="s">
        <v>28</v>
      </c>
      <c r="H258" s="5771" t="s">
        <v>28</v>
      </c>
      <c r="I258" s="5771" t="s">
        <v>965</v>
      </c>
    </row>
    <row customHeight="1" ht="11.25">
      <c r="A259" s="5771" t="s">
        <v>2364</v>
      </c>
      <c r="B259" s="5771" t="s">
        <v>16</v>
      </c>
      <c r="C259" s="5771" t="s">
        <v>2646</v>
      </c>
      <c r="D259" s="5771" t="s">
        <v>2647</v>
      </c>
      <c r="E259" s="5771" t="s">
        <v>2648</v>
      </c>
      <c r="F259" s="5771" t="s">
        <v>2371</v>
      </c>
      <c r="G259" s="5771" t="s">
        <v>28</v>
      </c>
      <c r="H259" s="5771" t="s">
        <v>28</v>
      </c>
      <c r="I259" s="5771" t="s">
        <v>965</v>
      </c>
    </row>
    <row customHeight="1" ht="11.25">
      <c r="A260" s="5771" t="s">
        <v>2364</v>
      </c>
      <c r="B260" s="5771" t="s">
        <v>16</v>
      </c>
      <c r="C260" s="5771" t="s">
        <v>2661</v>
      </c>
      <c r="D260" s="5771" t="s">
        <v>2662</v>
      </c>
      <c r="E260" s="5771" t="s">
        <v>2663</v>
      </c>
      <c r="F260" s="5771" t="s">
        <v>2567</v>
      </c>
      <c r="G260" s="5771" t="s">
        <v>2664</v>
      </c>
      <c r="H260" s="5771" t="s">
        <v>28</v>
      </c>
      <c r="I260" s="5771" t="s">
        <v>965</v>
      </c>
    </row>
    <row customHeight="1" ht="11.25">
      <c r="A261" s="5771" t="s">
        <v>2364</v>
      </c>
      <c r="B261" s="5771" t="s">
        <v>16</v>
      </c>
      <c r="C261" s="5771" t="s">
        <v>3003</v>
      </c>
      <c r="D261" s="5771" t="s">
        <v>3004</v>
      </c>
      <c r="E261" s="5771" t="s">
        <v>3005</v>
      </c>
      <c r="F261" s="5771" t="s">
        <v>2553</v>
      </c>
      <c r="G261" s="5771" t="s">
        <v>28</v>
      </c>
      <c r="H261" s="5771" t="s">
        <v>28</v>
      </c>
      <c r="I261" s="5771" t="s">
        <v>965</v>
      </c>
    </row>
    <row customHeight="1" ht="11.25">
      <c r="A262" s="5771" t="s">
        <v>2364</v>
      </c>
      <c r="B262" s="5771" t="s">
        <v>16</v>
      </c>
      <c r="C262" s="5771" t="s">
        <v>3006</v>
      </c>
      <c r="D262" s="5771" t="s">
        <v>3007</v>
      </c>
      <c r="E262" s="5771" t="s">
        <v>3008</v>
      </c>
      <c r="F262" s="5771" t="s">
        <v>2499</v>
      </c>
      <c r="G262" s="5771" t="s">
        <v>28</v>
      </c>
      <c r="H262" s="5771" t="s">
        <v>28</v>
      </c>
      <c r="I262" s="5771" t="s">
        <v>965</v>
      </c>
    </row>
    <row customHeight="1" ht="11.25">
      <c r="A263" s="5771" t="s">
        <v>2364</v>
      </c>
      <c r="B263" s="5771" t="s">
        <v>16</v>
      </c>
      <c r="C263" s="5771" t="s">
        <v>2677</v>
      </c>
      <c r="D263" s="5771" t="s">
        <v>2678</v>
      </c>
      <c r="E263" s="5771" t="s">
        <v>2679</v>
      </c>
      <c r="F263" s="5771" t="s">
        <v>2371</v>
      </c>
      <c r="G263" s="5771" t="s">
        <v>28</v>
      </c>
      <c r="H263" s="5771" t="s">
        <v>28</v>
      </c>
      <c r="I263" s="5771" t="s">
        <v>965</v>
      </c>
    </row>
    <row customHeight="1" ht="11.25">
      <c r="A264" s="5771" t="s">
        <v>2364</v>
      </c>
      <c r="B264" s="5771" t="s">
        <v>16</v>
      </c>
      <c r="C264" s="5771" t="s">
        <v>3009</v>
      </c>
      <c r="D264" s="5771" t="s">
        <v>3010</v>
      </c>
      <c r="E264" s="5771" t="s">
        <v>3011</v>
      </c>
      <c r="F264" s="5771" t="s">
        <v>3012</v>
      </c>
      <c r="G264" s="5771" t="s">
        <v>28</v>
      </c>
      <c r="H264" s="5771" t="s">
        <v>28</v>
      </c>
      <c r="I264" s="5771" t="s">
        <v>965</v>
      </c>
    </row>
    <row customHeight="1" ht="11.25">
      <c r="A265" s="5771" t="s">
        <v>2364</v>
      </c>
      <c r="B265" s="5771" t="s">
        <v>16</v>
      </c>
      <c r="C265" s="5771" t="s">
        <v>3013</v>
      </c>
      <c r="D265" s="5771" t="s">
        <v>3014</v>
      </c>
      <c r="E265" s="5771" t="s">
        <v>3015</v>
      </c>
      <c r="F265" s="5771" t="s">
        <v>2567</v>
      </c>
      <c r="G265" s="5771" t="s">
        <v>28</v>
      </c>
      <c r="H265" s="5771" t="s">
        <v>28</v>
      </c>
      <c r="I265" s="5771" t="s">
        <v>965</v>
      </c>
    </row>
    <row customHeight="1" ht="11.25">
      <c r="A266" s="5771" t="s">
        <v>2364</v>
      </c>
      <c r="B266" s="5771" t="s">
        <v>16</v>
      </c>
      <c r="C266" s="5771" t="s">
        <v>3016</v>
      </c>
      <c r="D266" s="5771" t="s">
        <v>3017</v>
      </c>
      <c r="E266" s="5771" t="s">
        <v>3018</v>
      </c>
      <c r="F266" s="5771" t="s">
        <v>2396</v>
      </c>
      <c r="G266" s="5771" t="s">
        <v>28</v>
      </c>
      <c r="H266" s="5771" t="s">
        <v>28</v>
      </c>
      <c r="I266" s="5771" t="s">
        <v>965</v>
      </c>
    </row>
    <row customHeight="1" ht="11.25">
      <c r="A267" s="5771" t="s">
        <v>2364</v>
      </c>
      <c r="B267" s="5771" t="s">
        <v>16</v>
      </c>
      <c r="C267" s="5771" t="s">
        <v>2680</v>
      </c>
      <c r="D267" s="5771" t="s">
        <v>2681</v>
      </c>
      <c r="E267" s="5771" t="s">
        <v>2682</v>
      </c>
      <c r="F267" s="5771" t="s">
        <v>2546</v>
      </c>
      <c r="G267" s="5771" t="s">
        <v>2426</v>
      </c>
      <c r="H267" s="5771" t="s">
        <v>28</v>
      </c>
      <c r="I267" s="5771" t="s">
        <v>965</v>
      </c>
    </row>
    <row customHeight="1" ht="11.25">
      <c r="A268" s="5771" t="s">
        <v>2364</v>
      </c>
      <c r="B268" s="5771" t="s">
        <v>16</v>
      </c>
      <c r="C268" s="5771" t="s">
        <v>3019</v>
      </c>
      <c r="D268" s="5771" t="s">
        <v>3020</v>
      </c>
      <c r="E268" s="5771" t="s">
        <v>3021</v>
      </c>
      <c r="F268" s="5771" t="s">
        <v>2546</v>
      </c>
      <c r="G268" s="5771" t="s">
        <v>28</v>
      </c>
      <c r="H268" s="5771" t="s">
        <v>28</v>
      </c>
      <c r="I268" s="5771" t="s">
        <v>965</v>
      </c>
    </row>
    <row customHeight="1" ht="11.25">
      <c r="A269" s="5771" t="s">
        <v>2364</v>
      </c>
      <c r="B269" s="5771" t="s">
        <v>16</v>
      </c>
      <c r="C269" s="5771" t="s">
        <v>2690</v>
      </c>
      <c r="D269" s="5771" t="s">
        <v>2691</v>
      </c>
      <c r="E269" s="5771" t="s">
        <v>2692</v>
      </c>
      <c r="F269" s="5771" t="s">
        <v>2693</v>
      </c>
      <c r="G269" s="5771" t="s">
        <v>28</v>
      </c>
      <c r="H269" s="5771" t="s">
        <v>28</v>
      </c>
      <c r="I269" s="5771" t="s">
        <v>965</v>
      </c>
    </row>
    <row customHeight="1" ht="11.25">
      <c r="A270" s="5771" t="s">
        <v>2364</v>
      </c>
      <c r="B270" s="5771" t="s">
        <v>16</v>
      </c>
      <c r="C270" s="5771" t="s">
        <v>3022</v>
      </c>
      <c r="D270" s="5771" t="s">
        <v>3023</v>
      </c>
      <c r="E270" s="5771" t="s">
        <v>3024</v>
      </c>
      <c r="F270" s="5771" t="s">
        <v>2425</v>
      </c>
      <c r="G270" s="5771" t="s">
        <v>28</v>
      </c>
      <c r="H270" s="5771" t="s">
        <v>28</v>
      </c>
      <c r="I270" s="5771" t="s">
        <v>965</v>
      </c>
    </row>
    <row customHeight="1" ht="11.25">
      <c r="A271" s="5771" t="s">
        <v>2364</v>
      </c>
      <c r="B271" s="5771" t="s">
        <v>16</v>
      </c>
      <c r="C271" s="5771" t="s">
        <v>2704</v>
      </c>
      <c r="D271" s="5771" t="s">
        <v>2705</v>
      </c>
      <c r="E271" s="5771" t="s">
        <v>2706</v>
      </c>
      <c r="F271" s="5771" t="s">
        <v>2707</v>
      </c>
      <c r="G271" s="5771" t="s">
        <v>28</v>
      </c>
      <c r="H271" s="5771" t="s">
        <v>28</v>
      </c>
      <c r="I271" s="5771" t="s">
        <v>965</v>
      </c>
    </row>
    <row customHeight="1" ht="11.25">
      <c r="A272" s="5771" t="s">
        <v>2364</v>
      </c>
      <c r="B272" s="5771" t="s">
        <v>16</v>
      </c>
      <c r="C272" s="5771" t="s">
        <v>3025</v>
      </c>
      <c r="D272" s="5771" t="s">
        <v>3026</v>
      </c>
      <c r="E272" s="5771" t="s">
        <v>3027</v>
      </c>
      <c r="F272" s="5771" t="s">
        <v>2396</v>
      </c>
      <c r="G272" s="5771" t="s">
        <v>28</v>
      </c>
      <c r="H272" s="5771" t="s">
        <v>28</v>
      </c>
      <c r="I272" s="5771" t="s">
        <v>965</v>
      </c>
    </row>
    <row customHeight="1" ht="11.25">
      <c r="A273" s="5771" t="s">
        <v>2364</v>
      </c>
      <c r="B273" s="5771" t="s">
        <v>16</v>
      </c>
      <c r="C273" s="5771" t="s">
        <v>3028</v>
      </c>
      <c r="D273" s="5771" t="s">
        <v>3029</v>
      </c>
      <c r="E273" s="5771" t="s">
        <v>3030</v>
      </c>
      <c r="F273" s="5771" t="s">
        <v>2598</v>
      </c>
      <c r="G273" s="5771" t="s">
        <v>28</v>
      </c>
      <c r="H273" s="5771" t="s">
        <v>28</v>
      </c>
      <c r="I273" s="5771" t="s">
        <v>965</v>
      </c>
    </row>
    <row customHeight="1" ht="11.25">
      <c r="A274" s="5771" t="s">
        <v>2364</v>
      </c>
      <c r="B274" s="5771" t="s">
        <v>16</v>
      </c>
      <c r="C274" s="5771" t="s">
        <v>3031</v>
      </c>
      <c r="D274" s="5771" t="s">
        <v>3032</v>
      </c>
      <c r="E274" s="5771" t="s">
        <v>3033</v>
      </c>
      <c r="F274" s="5771" t="s">
        <v>2371</v>
      </c>
      <c r="G274" s="5771" t="s">
        <v>28</v>
      </c>
      <c r="H274" s="5771" t="s">
        <v>28</v>
      </c>
      <c r="I274" s="5771" t="s">
        <v>965</v>
      </c>
    </row>
    <row customHeight="1" ht="11.25">
      <c r="A275" s="5771" t="s">
        <v>2364</v>
      </c>
      <c r="B275" s="5771" t="s">
        <v>16</v>
      </c>
      <c r="C275" s="5771" t="s">
        <v>3034</v>
      </c>
      <c r="D275" s="5771" t="s">
        <v>3035</v>
      </c>
      <c r="E275" s="5771" t="s">
        <v>3036</v>
      </c>
      <c r="F275" s="5771" t="s">
        <v>2693</v>
      </c>
      <c r="G275" s="5771" t="s">
        <v>28</v>
      </c>
      <c r="H275" s="5771" t="s">
        <v>28</v>
      </c>
      <c r="I275" s="5771" t="s">
        <v>965</v>
      </c>
    </row>
    <row customHeight="1" ht="11.25">
      <c r="A276" s="5771" t="s">
        <v>2364</v>
      </c>
      <c r="B276" s="5771" t="s">
        <v>16</v>
      </c>
      <c r="C276" s="5771" t="s">
        <v>3037</v>
      </c>
      <c r="D276" s="5771" t="s">
        <v>3038</v>
      </c>
      <c r="E276" s="5771" t="s">
        <v>3039</v>
      </c>
      <c r="F276" s="5771" t="s">
        <v>2470</v>
      </c>
      <c r="G276" s="5771" t="s">
        <v>28</v>
      </c>
      <c r="H276" s="5771" t="s">
        <v>28</v>
      </c>
      <c r="I276" s="5771" t="s">
        <v>965</v>
      </c>
    </row>
    <row customHeight="1" ht="11.25">
      <c r="A277" s="5771" t="s">
        <v>2364</v>
      </c>
      <c r="B277" s="5771" t="s">
        <v>16</v>
      </c>
      <c r="C277" s="5771" t="s">
        <v>3040</v>
      </c>
      <c r="D277" s="5771" t="s">
        <v>3041</v>
      </c>
      <c r="E277" s="5771" t="s">
        <v>3042</v>
      </c>
      <c r="F277" s="5771" t="s">
        <v>2367</v>
      </c>
      <c r="G277" s="5771" t="s">
        <v>28</v>
      </c>
      <c r="H277" s="5771" t="s">
        <v>28</v>
      </c>
      <c r="I277" s="5771" t="s">
        <v>965</v>
      </c>
    </row>
    <row customHeight="1" ht="11.25">
      <c r="A278" s="5771" t="s">
        <v>2364</v>
      </c>
      <c r="B278" s="5771" t="s">
        <v>16</v>
      </c>
      <c r="C278" s="5771" t="s">
        <v>3043</v>
      </c>
      <c r="D278" s="5771" t="s">
        <v>3044</v>
      </c>
      <c r="E278" s="5771" t="s">
        <v>3045</v>
      </c>
      <c r="F278" s="5771" t="s">
        <v>2425</v>
      </c>
      <c r="G278" s="5771" t="s">
        <v>28</v>
      </c>
      <c r="H278" s="5771" t="s">
        <v>28</v>
      </c>
      <c r="I278" s="5771" t="s">
        <v>965</v>
      </c>
    </row>
    <row customHeight="1" ht="11.25">
      <c r="A279" s="5771" t="s">
        <v>2364</v>
      </c>
      <c r="B279" s="5771" t="s">
        <v>16</v>
      </c>
      <c r="C279" s="5771" t="s">
        <v>3046</v>
      </c>
      <c r="D279" s="5771" t="s">
        <v>3047</v>
      </c>
      <c r="E279" s="5771" t="s">
        <v>3048</v>
      </c>
      <c r="F279" s="5771" t="s">
        <v>2416</v>
      </c>
      <c r="G279" s="5771" t="s">
        <v>3049</v>
      </c>
      <c r="H279" s="5771" t="s">
        <v>28</v>
      </c>
      <c r="I279" s="5771" t="s">
        <v>965</v>
      </c>
    </row>
    <row customHeight="1" ht="11.25">
      <c r="A280" s="5771" t="s">
        <v>2364</v>
      </c>
      <c r="B280" s="5771" t="s">
        <v>16</v>
      </c>
      <c r="C280" s="5771" t="s">
        <v>3050</v>
      </c>
      <c r="D280" s="5771" t="s">
        <v>3051</v>
      </c>
      <c r="E280" s="5771" t="s">
        <v>2366</v>
      </c>
      <c r="F280" s="5771" t="s">
        <v>2367</v>
      </c>
      <c r="G280" s="5771" t="s">
        <v>28</v>
      </c>
      <c r="H280" s="5771" t="s">
        <v>28</v>
      </c>
      <c r="I280" s="5771" t="s">
        <v>965</v>
      </c>
    </row>
    <row customHeight="1" ht="11.25">
      <c r="A281" s="5771" t="s">
        <v>2364</v>
      </c>
      <c r="B281" s="5771" t="s">
        <v>16</v>
      </c>
      <c r="C281" s="5771" t="s">
        <v>3052</v>
      </c>
      <c r="D281" s="5771" t="s">
        <v>3053</v>
      </c>
      <c r="E281" s="5771" t="s">
        <v>3054</v>
      </c>
      <c r="F281" s="5771" t="s">
        <v>2371</v>
      </c>
      <c r="G281" s="5771" t="s">
        <v>28</v>
      </c>
      <c r="H281" s="5771" t="s">
        <v>28</v>
      </c>
      <c r="I281" s="5771" t="s">
        <v>965</v>
      </c>
    </row>
    <row customHeight="1" ht="11.25">
      <c r="A282" s="5771" t="s">
        <v>2364</v>
      </c>
      <c r="B282" s="5771" t="s">
        <v>16</v>
      </c>
      <c r="C282" s="5771" t="s">
        <v>3055</v>
      </c>
      <c r="D282" s="5771" t="s">
        <v>3056</v>
      </c>
      <c r="E282" s="5771" t="s">
        <v>3057</v>
      </c>
      <c r="F282" s="5771" t="s">
        <v>2371</v>
      </c>
      <c r="G282" s="5771" t="s">
        <v>28</v>
      </c>
      <c r="H282" s="5771" t="s">
        <v>28</v>
      </c>
      <c r="I282" s="5771" t="s">
        <v>965</v>
      </c>
    </row>
    <row customHeight="1" ht="11.25">
      <c r="A283" s="5771" t="s">
        <v>2364</v>
      </c>
      <c r="B283" s="5771" t="s">
        <v>16</v>
      </c>
      <c r="C283" s="5771" t="s">
        <v>2711</v>
      </c>
      <c r="D283" s="5771" t="s">
        <v>2712</v>
      </c>
      <c r="E283" s="5771" t="s">
        <v>2713</v>
      </c>
      <c r="F283" s="5771" t="s">
        <v>2379</v>
      </c>
      <c r="G283" s="5771" t="s">
        <v>28</v>
      </c>
      <c r="H283" s="5771" t="s">
        <v>28</v>
      </c>
      <c r="I283" s="5771" t="s">
        <v>965</v>
      </c>
    </row>
    <row customHeight="1" ht="11.25">
      <c r="A284" s="5771" t="s">
        <v>2364</v>
      </c>
      <c r="B284" s="5771" t="s">
        <v>16</v>
      </c>
      <c r="C284" s="5771" t="s">
        <v>2722</v>
      </c>
      <c r="D284" s="5771" t="s">
        <v>2723</v>
      </c>
      <c r="E284" s="5771" t="s">
        <v>2724</v>
      </c>
      <c r="F284" s="5771" t="s">
        <v>2693</v>
      </c>
      <c r="G284" s="5771" t="s">
        <v>2725</v>
      </c>
      <c r="H284" s="5771" t="s">
        <v>28</v>
      </c>
      <c r="I284" s="5771" t="s">
        <v>965</v>
      </c>
    </row>
    <row customHeight="1" ht="11.25">
      <c r="A285" s="5771" t="s">
        <v>2364</v>
      </c>
      <c r="B285" s="5771" t="s">
        <v>16</v>
      </c>
      <c r="C285" s="5771" t="s">
        <v>2726</v>
      </c>
      <c r="D285" s="5771" t="s">
        <v>2727</v>
      </c>
      <c r="E285" s="5771" t="s">
        <v>2728</v>
      </c>
      <c r="F285" s="5771" t="s">
        <v>2416</v>
      </c>
      <c r="G285" s="5771" t="s">
        <v>2729</v>
      </c>
      <c r="H285" s="5771" t="s">
        <v>28</v>
      </c>
      <c r="I285" s="5771" t="s">
        <v>965</v>
      </c>
    </row>
    <row customHeight="1" ht="11.25">
      <c r="A286" s="5771" t="s">
        <v>2364</v>
      </c>
      <c r="B286" s="5771" t="s">
        <v>16</v>
      </c>
      <c r="C286" s="5771" t="s">
        <v>3058</v>
      </c>
      <c r="D286" s="5771" t="s">
        <v>3059</v>
      </c>
      <c r="E286" s="5771" t="s">
        <v>3060</v>
      </c>
      <c r="F286" s="5771" t="s">
        <v>2470</v>
      </c>
      <c r="G286" s="5771" t="s">
        <v>28</v>
      </c>
      <c r="H286" s="5771" t="s">
        <v>28</v>
      </c>
      <c r="I286" s="5771" t="s">
        <v>965</v>
      </c>
    </row>
    <row customHeight="1" ht="11.25">
      <c r="A287" s="5771" t="s">
        <v>2364</v>
      </c>
      <c r="B287" s="5771" t="s">
        <v>16</v>
      </c>
      <c r="C287" s="5771" t="s">
        <v>3061</v>
      </c>
      <c r="D287" s="5771" t="s">
        <v>3062</v>
      </c>
      <c r="E287" s="5771" t="s">
        <v>3063</v>
      </c>
      <c r="F287" s="5771" t="s">
        <v>2598</v>
      </c>
      <c r="G287" s="5771" t="s">
        <v>28</v>
      </c>
      <c r="H287" s="5771" t="s">
        <v>28</v>
      </c>
      <c r="I287" s="5771" t="s">
        <v>965</v>
      </c>
    </row>
    <row customHeight="1" ht="11.25">
      <c r="A288" s="5771" t="s">
        <v>2364</v>
      </c>
      <c r="B288" s="5771" t="s">
        <v>16</v>
      </c>
      <c r="C288" s="5771" t="s">
        <v>3064</v>
      </c>
      <c r="D288" s="5771" t="s">
        <v>3065</v>
      </c>
      <c r="E288" s="5771" t="s">
        <v>3066</v>
      </c>
      <c r="F288" s="5771" t="s">
        <v>3067</v>
      </c>
      <c r="G288" s="5771" t="s">
        <v>28</v>
      </c>
      <c r="H288" s="5771" t="s">
        <v>28</v>
      </c>
      <c r="I288" s="5771" t="s">
        <v>965</v>
      </c>
    </row>
    <row customHeight="1" ht="11.25">
      <c r="A289" s="5771" t="s">
        <v>2364</v>
      </c>
      <c r="B289" s="5771" t="s">
        <v>16</v>
      </c>
      <c r="C289" s="5771" t="s">
        <v>3068</v>
      </c>
      <c r="D289" s="5771" t="s">
        <v>3069</v>
      </c>
      <c r="E289" s="5771" t="s">
        <v>3070</v>
      </c>
      <c r="F289" s="5771" t="s">
        <v>2499</v>
      </c>
      <c r="G289" s="5771" t="s">
        <v>28</v>
      </c>
      <c r="H289" s="5771" t="s">
        <v>28</v>
      </c>
      <c r="I289" s="5771" t="s">
        <v>965</v>
      </c>
    </row>
    <row customHeight="1" ht="11.25">
      <c r="A290" s="5771" t="s">
        <v>2364</v>
      </c>
      <c r="B290" s="5771" t="s">
        <v>16</v>
      </c>
      <c r="C290" s="5771" t="s">
        <v>2740</v>
      </c>
      <c r="D290" s="5771" t="s">
        <v>2741</v>
      </c>
      <c r="E290" s="5771" t="s">
        <v>2742</v>
      </c>
      <c r="F290" s="5771" t="s">
        <v>2567</v>
      </c>
      <c r="G290" s="5771" t="s">
        <v>28</v>
      </c>
      <c r="H290" s="5771" t="s">
        <v>28</v>
      </c>
      <c r="I290" s="5771" t="s">
        <v>965</v>
      </c>
    </row>
    <row customHeight="1" ht="11.25">
      <c r="A291" s="5771" t="s">
        <v>2364</v>
      </c>
      <c r="B291" s="5771" t="s">
        <v>16</v>
      </c>
      <c r="C291" s="5771" t="s">
        <v>2743</v>
      </c>
      <c r="D291" s="5771" t="s">
        <v>2744</v>
      </c>
      <c r="E291" s="5771" t="s">
        <v>2745</v>
      </c>
      <c r="F291" s="5771" t="s">
        <v>2746</v>
      </c>
      <c r="G291" s="5771" t="s">
        <v>2747</v>
      </c>
      <c r="H291" s="5771" t="s">
        <v>28</v>
      </c>
      <c r="I291" s="5771" t="s">
        <v>965</v>
      </c>
    </row>
    <row customHeight="1" ht="11.25">
      <c r="A292" s="5771" t="s">
        <v>2364</v>
      </c>
      <c r="B292" s="5771" t="s">
        <v>16</v>
      </c>
      <c r="C292" s="5771" t="s">
        <v>2748</v>
      </c>
      <c r="D292" s="5771" t="s">
        <v>2749</v>
      </c>
      <c r="E292" s="5771" t="s">
        <v>2750</v>
      </c>
      <c r="F292" s="5771" t="s">
        <v>2567</v>
      </c>
      <c r="G292" s="5771" t="s">
        <v>28</v>
      </c>
      <c r="H292" s="5771" t="s">
        <v>28</v>
      </c>
      <c r="I292" s="5771" t="s">
        <v>965</v>
      </c>
    </row>
    <row customHeight="1" ht="11.25">
      <c r="A293" s="5771" t="s">
        <v>2364</v>
      </c>
      <c r="B293" s="5771" t="s">
        <v>16</v>
      </c>
      <c r="C293" s="5771" t="s">
        <v>2754</v>
      </c>
      <c r="D293" s="5771" t="s">
        <v>2755</v>
      </c>
      <c r="E293" s="5771" t="s">
        <v>2756</v>
      </c>
      <c r="F293" s="5771" t="s">
        <v>2499</v>
      </c>
      <c r="G293" s="5771" t="s">
        <v>28</v>
      </c>
      <c r="H293" s="5771" t="s">
        <v>28</v>
      </c>
      <c r="I293" s="5771" t="s">
        <v>965</v>
      </c>
    </row>
    <row customHeight="1" ht="11.25">
      <c r="A294" s="5771" t="s">
        <v>2364</v>
      </c>
      <c r="B294" s="5771" t="s">
        <v>16</v>
      </c>
      <c r="C294" s="5771" t="s">
        <v>3071</v>
      </c>
      <c r="D294" s="5771" t="s">
        <v>3072</v>
      </c>
      <c r="E294" s="5771" t="s">
        <v>3073</v>
      </c>
      <c r="F294" s="5771" t="s">
        <v>2884</v>
      </c>
      <c r="G294" s="5771" t="s">
        <v>28</v>
      </c>
      <c r="H294" s="5771" t="s">
        <v>28</v>
      </c>
      <c r="I294" s="5771" t="s">
        <v>965</v>
      </c>
    </row>
    <row customHeight="1" ht="11.25">
      <c r="A295" s="5771" t="s">
        <v>2364</v>
      </c>
      <c r="B295" s="5771" t="s">
        <v>16</v>
      </c>
      <c r="C295" s="5771" t="s">
        <v>3074</v>
      </c>
      <c r="D295" s="5771" t="s">
        <v>3075</v>
      </c>
      <c r="E295" s="5771" t="s">
        <v>3076</v>
      </c>
      <c r="F295" s="5771" t="s">
        <v>2884</v>
      </c>
      <c r="G295" s="5771" t="s">
        <v>28</v>
      </c>
      <c r="H295" s="5771" t="s">
        <v>28</v>
      </c>
      <c r="I295" s="5771" t="s">
        <v>965</v>
      </c>
    </row>
    <row customHeight="1" ht="11.25">
      <c r="A296" s="5771" t="s">
        <v>2364</v>
      </c>
      <c r="B296" s="5771" t="s">
        <v>16</v>
      </c>
      <c r="C296" s="5771" t="s">
        <v>3077</v>
      </c>
      <c r="D296" s="5771" t="s">
        <v>3078</v>
      </c>
      <c r="E296" s="5771" t="s">
        <v>3079</v>
      </c>
      <c r="F296" s="5771" t="s">
        <v>2396</v>
      </c>
      <c r="G296" s="5771" t="s">
        <v>28</v>
      </c>
      <c r="H296" s="5771" t="s">
        <v>28</v>
      </c>
      <c r="I296" s="5771" t="s">
        <v>965</v>
      </c>
    </row>
    <row customHeight="1" ht="11.25">
      <c r="A297" s="5771" t="s">
        <v>2364</v>
      </c>
      <c r="B297" s="5771" t="s">
        <v>16</v>
      </c>
      <c r="C297" s="5771" t="s">
        <v>3080</v>
      </c>
      <c r="D297" s="5771" t="s">
        <v>3081</v>
      </c>
      <c r="E297" s="5771" t="s">
        <v>3082</v>
      </c>
      <c r="F297" s="5771" t="s">
        <v>2763</v>
      </c>
      <c r="G297" s="5771" t="s">
        <v>28</v>
      </c>
      <c r="H297" s="5771" t="s">
        <v>28</v>
      </c>
      <c r="I297" s="5771" t="s">
        <v>965</v>
      </c>
    </row>
    <row customHeight="1" ht="11.25">
      <c r="A298" s="5771" t="s">
        <v>2364</v>
      </c>
      <c r="B298" s="5771" t="s">
        <v>16</v>
      </c>
      <c r="C298" s="5771" t="s">
        <v>3083</v>
      </c>
      <c r="D298" s="5771" t="s">
        <v>3084</v>
      </c>
      <c r="E298" s="5771" t="s">
        <v>3085</v>
      </c>
      <c r="F298" s="5771" t="s">
        <v>2553</v>
      </c>
      <c r="G298" s="5771" t="s">
        <v>28</v>
      </c>
      <c r="H298" s="5771" t="s">
        <v>28</v>
      </c>
      <c r="I298" s="5771" t="s">
        <v>965</v>
      </c>
    </row>
    <row customHeight="1" ht="11.25">
      <c r="A299" s="5771" t="s">
        <v>2364</v>
      </c>
      <c r="B299" s="5771" t="s">
        <v>16</v>
      </c>
      <c r="C299" s="5771" t="s">
        <v>2760</v>
      </c>
      <c r="D299" s="5771" t="s">
        <v>2761</v>
      </c>
      <c r="E299" s="5771" t="s">
        <v>2762</v>
      </c>
      <c r="F299" s="5771" t="s">
        <v>2763</v>
      </c>
      <c r="G299" s="5771" t="s">
        <v>28</v>
      </c>
      <c r="H299" s="5771" t="s">
        <v>28</v>
      </c>
      <c r="I299" s="5771" t="s">
        <v>965</v>
      </c>
    </row>
    <row customHeight="1" ht="11.25">
      <c r="A300" s="5771" t="s">
        <v>2364</v>
      </c>
      <c r="B300" s="5771" t="s">
        <v>16</v>
      </c>
      <c r="C300" s="5771" t="s">
        <v>3086</v>
      </c>
      <c r="D300" s="5771" t="s">
        <v>3087</v>
      </c>
      <c r="E300" s="5771" t="s">
        <v>3088</v>
      </c>
      <c r="F300" s="5771" t="s">
        <v>2499</v>
      </c>
      <c r="G300" s="5771" t="s">
        <v>28</v>
      </c>
      <c r="H300" s="5771" t="s">
        <v>28</v>
      </c>
      <c r="I300" s="5771" t="s">
        <v>965</v>
      </c>
    </row>
    <row customHeight="1" ht="11.25">
      <c r="A301" s="5771" t="s">
        <v>2364</v>
      </c>
      <c r="B301" s="5771" t="s">
        <v>16</v>
      </c>
      <c r="C301" s="5771" t="s">
        <v>3089</v>
      </c>
      <c r="D301" s="5771" t="s">
        <v>3090</v>
      </c>
      <c r="E301" s="5771" t="s">
        <v>3091</v>
      </c>
      <c r="F301" s="5771" t="s">
        <v>2943</v>
      </c>
      <c r="G301" s="5771" t="s">
        <v>3092</v>
      </c>
      <c r="H301" s="5771" t="s">
        <v>28</v>
      </c>
      <c r="I301" s="5771" t="s">
        <v>965</v>
      </c>
    </row>
    <row customHeight="1" ht="11.25">
      <c r="A302" s="5771" t="s">
        <v>2364</v>
      </c>
      <c r="B302" s="5771" t="s">
        <v>16</v>
      </c>
      <c r="C302" s="5771" t="s">
        <v>3093</v>
      </c>
      <c r="D302" s="5771" t="s">
        <v>3094</v>
      </c>
      <c r="E302" s="5771" t="s">
        <v>3095</v>
      </c>
      <c r="F302" s="5771" t="s">
        <v>2470</v>
      </c>
      <c r="G302" s="5771" t="s">
        <v>28</v>
      </c>
      <c r="H302" s="5771" t="s">
        <v>28</v>
      </c>
      <c r="I302" s="5771" t="s">
        <v>965</v>
      </c>
    </row>
    <row customHeight="1" ht="11.25">
      <c r="A303" s="5771" t="s">
        <v>2364</v>
      </c>
      <c r="B303" s="5771" t="s">
        <v>16</v>
      </c>
      <c r="C303" s="5771" t="s">
        <v>3096</v>
      </c>
      <c r="D303" s="5771" t="s">
        <v>3097</v>
      </c>
      <c r="E303" s="5771" t="s">
        <v>3098</v>
      </c>
      <c r="F303" s="5771" t="s">
        <v>2491</v>
      </c>
      <c r="G303" s="5771" t="s">
        <v>28</v>
      </c>
      <c r="H303" s="5771" t="s">
        <v>28</v>
      </c>
      <c r="I303" s="5771" t="s">
        <v>965</v>
      </c>
    </row>
    <row customHeight="1" ht="11.25">
      <c r="A304" s="5771" t="s">
        <v>2364</v>
      </c>
      <c r="B304" s="5771" t="s">
        <v>16</v>
      </c>
      <c r="C304" s="5771" t="s">
        <v>3099</v>
      </c>
      <c r="D304" s="5771" t="s">
        <v>3100</v>
      </c>
      <c r="E304" s="5771" t="s">
        <v>3101</v>
      </c>
      <c r="F304" s="5771" t="s">
        <v>2371</v>
      </c>
      <c r="G304" s="5771" t="s">
        <v>28</v>
      </c>
      <c r="H304" s="5771" t="s">
        <v>28</v>
      </c>
      <c r="I304" s="5771" t="s">
        <v>965</v>
      </c>
    </row>
    <row customHeight="1" ht="11.25">
      <c r="A305" s="5771" t="s">
        <v>2364</v>
      </c>
      <c r="B305" s="5771" t="s">
        <v>16</v>
      </c>
      <c r="C305" s="5771" t="s">
        <v>3102</v>
      </c>
      <c r="D305" s="5771" t="s">
        <v>3103</v>
      </c>
      <c r="E305" s="5771" t="s">
        <v>3104</v>
      </c>
      <c r="F305" s="5771" t="s">
        <v>2525</v>
      </c>
      <c r="G305" s="5771" t="s">
        <v>28</v>
      </c>
      <c r="H305" s="5771" t="s">
        <v>28</v>
      </c>
      <c r="I305" s="5771" t="s">
        <v>965</v>
      </c>
    </row>
    <row customHeight="1" ht="11.25">
      <c r="A306" s="5771" t="s">
        <v>2364</v>
      </c>
      <c r="B306" s="5771" t="s">
        <v>16</v>
      </c>
      <c r="C306" s="5771" t="s">
        <v>3105</v>
      </c>
      <c r="D306" s="5771" t="s">
        <v>3106</v>
      </c>
      <c r="E306" s="5771" t="s">
        <v>3107</v>
      </c>
      <c r="F306" s="5771" t="s">
        <v>2884</v>
      </c>
      <c r="G306" s="5771" t="s">
        <v>3108</v>
      </c>
      <c r="H306" s="5771" t="s">
        <v>28</v>
      </c>
      <c r="I306" s="5771" t="s">
        <v>965</v>
      </c>
    </row>
    <row customHeight="1" ht="11.25">
      <c r="A307" s="5771" t="s">
        <v>2364</v>
      </c>
      <c r="B307" s="5771" t="s">
        <v>16</v>
      </c>
      <c r="C307" s="5771" t="s">
        <v>3109</v>
      </c>
      <c r="D307" s="5771" t="s">
        <v>3110</v>
      </c>
      <c r="E307" s="5771" t="s">
        <v>3111</v>
      </c>
      <c r="F307" s="5771" t="s">
        <v>2425</v>
      </c>
      <c r="G307" s="5771" t="s">
        <v>28</v>
      </c>
      <c r="H307" s="5771" t="s">
        <v>28</v>
      </c>
      <c r="I307" s="5771" t="s">
        <v>965</v>
      </c>
    </row>
    <row customHeight="1" ht="11.25">
      <c r="A308" s="5771" t="s">
        <v>2364</v>
      </c>
      <c r="B308" s="5771" t="s">
        <v>16</v>
      </c>
      <c r="C308" s="5771" t="s">
        <v>2790</v>
      </c>
      <c r="D308" s="5771" t="s">
        <v>2791</v>
      </c>
      <c r="E308" s="5771" t="s">
        <v>2792</v>
      </c>
      <c r="F308" s="5771" t="s">
        <v>2396</v>
      </c>
      <c r="G308" s="5771" t="s">
        <v>28</v>
      </c>
      <c r="H308" s="5771" t="s">
        <v>28</v>
      </c>
      <c r="I308" s="5771" t="s">
        <v>965</v>
      </c>
    </row>
    <row customHeight="1" ht="11.25">
      <c r="A309" s="5771" t="s">
        <v>2364</v>
      </c>
      <c r="B309" s="5771" t="s">
        <v>16</v>
      </c>
      <c r="C309" s="5771" t="s">
        <v>28</v>
      </c>
      <c r="D309" s="5771" t="s">
        <v>2365</v>
      </c>
      <c r="E309" s="5771" t="s">
        <v>2366</v>
      </c>
      <c r="F309" s="5771" t="s">
        <v>2367</v>
      </c>
      <c r="G309" s="5771" t="s">
        <v>28</v>
      </c>
      <c r="H309" s="5771" t="s">
        <v>28</v>
      </c>
      <c r="I309" s="5771" t="s">
        <v>1018</v>
      </c>
    </row>
    <row customHeight="1" ht="11.25">
      <c r="A310" s="5771" t="s">
        <v>2364</v>
      </c>
      <c r="B310" s="5771" t="s">
        <v>16</v>
      </c>
      <c r="C310" s="5771" t="s">
        <v>2368</v>
      </c>
      <c r="D310" s="5771" t="s">
        <v>2369</v>
      </c>
      <c r="E310" s="5771" t="s">
        <v>2370</v>
      </c>
      <c r="F310" s="5771" t="s">
        <v>2371</v>
      </c>
      <c r="G310" s="5771" t="s">
        <v>28</v>
      </c>
      <c r="H310" s="5771" t="s">
        <v>28</v>
      </c>
      <c r="I310" s="5771" t="s">
        <v>1018</v>
      </c>
    </row>
    <row customHeight="1" ht="11.25">
      <c r="A311" s="5771" t="s">
        <v>2364</v>
      </c>
      <c r="B311" s="5771" t="s">
        <v>16</v>
      </c>
      <c r="C311" s="5771" t="s">
        <v>2376</v>
      </c>
      <c r="D311" s="5771" t="s">
        <v>2377</v>
      </c>
      <c r="E311" s="5771" t="s">
        <v>2378</v>
      </c>
      <c r="F311" s="5771" t="s">
        <v>2379</v>
      </c>
      <c r="G311" s="5771" t="s">
        <v>28</v>
      </c>
      <c r="H311" s="5771" t="s">
        <v>28</v>
      </c>
      <c r="I311" s="5771" t="s">
        <v>1018</v>
      </c>
    </row>
    <row customHeight="1" ht="11.25">
      <c r="A312" s="5771" t="s">
        <v>2364</v>
      </c>
      <c r="B312" s="5771" t="s">
        <v>16</v>
      </c>
      <c r="C312" s="5771" t="s">
        <v>2384</v>
      </c>
      <c r="D312" s="5771" t="s">
        <v>2381</v>
      </c>
      <c r="E312" s="5771" t="s">
        <v>2382</v>
      </c>
      <c r="F312" s="5771" t="s">
        <v>2385</v>
      </c>
      <c r="G312" s="5771" t="s">
        <v>2386</v>
      </c>
      <c r="H312" s="5771" t="s">
        <v>28</v>
      </c>
      <c r="I312" s="5771" t="s">
        <v>1018</v>
      </c>
    </row>
    <row customHeight="1" ht="11.25">
      <c r="A313" s="5771" t="s">
        <v>2364</v>
      </c>
      <c r="B313" s="5771" t="s">
        <v>16</v>
      </c>
      <c r="C313" s="5771" t="s">
        <v>2393</v>
      </c>
      <c r="D313" s="5771" t="s">
        <v>2394</v>
      </c>
      <c r="E313" s="5771" t="s">
        <v>2395</v>
      </c>
      <c r="F313" s="5771" t="s">
        <v>2396</v>
      </c>
      <c r="G313" s="5771" t="s">
        <v>28</v>
      </c>
      <c r="H313" s="5771" t="s">
        <v>28</v>
      </c>
      <c r="I313" s="5771" t="s">
        <v>1018</v>
      </c>
    </row>
    <row customHeight="1" ht="11.25">
      <c r="A314" s="5771" t="s">
        <v>2364</v>
      </c>
      <c r="B314" s="5771" t="s">
        <v>16</v>
      </c>
      <c r="C314" s="5771" t="s">
        <v>2401</v>
      </c>
      <c r="D314" s="5771" t="s">
        <v>2402</v>
      </c>
      <c r="E314" s="5771" t="s">
        <v>2403</v>
      </c>
      <c r="F314" s="5771" t="s">
        <v>2404</v>
      </c>
      <c r="G314" s="5771" t="s">
        <v>28</v>
      </c>
      <c r="H314" s="5771" t="s">
        <v>28</v>
      </c>
      <c r="I314" s="5771" t="s">
        <v>1018</v>
      </c>
    </row>
    <row customHeight="1" ht="11.25">
      <c r="A315" s="5771" t="s">
        <v>2364</v>
      </c>
      <c r="B315" s="5771" t="s">
        <v>16</v>
      </c>
      <c r="C315" s="5771" t="s">
        <v>2815</v>
      </c>
      <c r="D315" s="5771" t="s">
        <v>2816</v>
      </c>
      <c r="E315" s="5771" t="s">
        <v>2817</v>
      </c>
      <c r="F315" s="5771" t="s">
        <v>2611</v>
      </c>
      <c r="G315" s="5771" t="s">
        <v>2818</v>
      </c>
      <c r="H315" s="5771" t="s">
        <v>28</v>
      </c>
      <c r="I315" s="5771" t="s">
        <v>1018</v>
      </c>
    </row>
    <row customHeight="1" ht="11.25">
      <c r="A316" s="5771" t="s">
        <v>2364</v>
      </c>
      <c r="B316" s="5771" t="s">
        <v>16</v>
      </c>
      <c r="C316" s="5771" t="s">
        <v>3112</v>
      </c>
      <c r="D316" s="5771" t="s">
        <v>3113</v>
      </c>
      <c r="E316" s="5771" t="s">
        <v>3114</v>
      </c>
      <c r="F316" s="5771" t="s">
        <v>2367</v>
      </c>
      <c r="G316" s="5771" t="s">
        <v>28</v>
      </c>
      <c r="H316" s="5771" t="s">
        <v>28</v>
      </c>
      <c r="I316" s="5771" t="s">
        <v>1018</v>
      </c>
    </row>
    <row customHeight="1" ht="11.25">
      <c r="A317" s="5771" t="s">
        <v>2364</v>
      </c>
      <c r="B317" s="5771" t="s">
        <v>16</v>
      </c>
      <c r="C317" s="5771" t="s">
        <v>2410</v>
      </c>
      <c r="D317" s="5771" t="s">
        <v>2411</v>
      </c>
      <c r="E317" s="5771" t="s">
        <v>2412</v>
      </c>
      <c r="F317" s="5771" t="s">
        <v>2375</v>
      </c>
      <c r="G317" s="5771" t="s">
        <v>28</v>
      </c>
      <c r="H317" s="5771" t="s">
        <v>28</v>
      </c>
      <c r="I317" s="5771" t="s">
        <v>1018</v>
      </c>
    </row>
    <row customHeight="1" ht="11.25">
      <c r="A318" s="5771" t="s">
        <v>2364</v>
      </c>
      <c r="B318" s="5771" t="s">
        <v>16</v>
      </c>
      <c r="C318" s="5771" t="s">
        <v>2413</v>
      </c>
      <c r="D318" s="5771" t="s">
        <v>2414</v>
      </c>
      <c r="E318" s="5771" t="s">
        <v>2415</v>
      </c>
      <c r="F318" s="5771" t="s">
        <v>2416</v>
      </c>
      <c r="G318" s="5771" t="s">
        <v>28</v>
      </c>
      <c r="H318" s="5771" t="s">
        <v>28</v>
      </c>
      <c r="I318" s="5771" t="s">
        <v>1018</v>
      </c>
    </row>
    <row customHeight="1" ht="11.25">
      <c r="A319" s="5771" t="s">
        <v>2364</v>
      </c>
      <c r="B319" s="5771" t="s">
        <v>16</v>
      </c>
      <c r="C319" s="5771" t="s">
        <v>2819</v>
      </c>
      <c r="D319" s="5771" t="s">
        <v>2820</v>
      </c>
      <c r="E319" s="5771" t="s">
        <v>2821</v>
      </c>
      <c r="F319" s="5771" t="s">
        <v>2396</v>
      </c>
      <c r="G319" s="5771" t="s">
        <v>2822</v>
      </c>
      <c r="H319" s="5771" t="s">
        <v>28</v>
      </c>
      <c r="I319" s="5771" t="s">
        <v>1018</v>
      </c>
    </row>
    <row customHeight="1" ht="11.25">
      <c r="A320" s="5771" t="s">
        <v>2364</v>
      </c>
      <c r="B320" s="5771" t="s">
        <v>16</v>
      </c>
      <c r="C320" s="5771" t="s">
        <v>2823</v>
      </c>
      <c r="D320" s="5771" t="s">
        <v>2824</v>
      </c>
      <c r="E320" s="5771" t="s">
        <v>2825</v>
      </c>
      <c r="F320" s="5771" t="s">
        <v>2375</v>
      </c>
      <c r="G320" s="5771" t="s">
        <v>28</v>
      </c>
      <c r="H320" s="5771" t="s">
        <v>28</v>
      </c>
      <c r="I320" s="5771" t="s">
        <v>1018</v>
      </c>
    </row>
    <row customHeight="1" ht="11.25">
      <c r="A321" s="5771" t="s">
        <v>2364</v>
      </c>
      <c r="B321" s="5771" t="s">
        <v>16</v>
      </c>
      <c r="C321" s="5771" t="s">
        <v>2430</v>
      </c>
      <c r="D321" s="5771" t="s">
        <v>2431</v>
      </c>
      <c r="E321" s="5771" t="s">
        <v>2432</v>
      </c>
      <c r="F321" s="5771" t="s">
        <v>2433</v>
      </c>
      <c r="G321" s="5771" t="s">
        <v>28</v>
      </c>
      <c r="H321" s="5771" t="s">
        <v>28</v>
      </c>
      <c r="I321" s="5771" t="s">
        <v>1018</v>
      </c>
    </row>
    <row customHeight="1" ht="11.25">
      <c r="A322" s="5771" t="s">
        <v>2364</v>
      </c>
      <c r="B322" s="5771" t="s">
        <v>16</v>
      </c>
      <c r="C322" s="5771" t="s">
        <v>2826</v>
      </c>
      <c r="D322" s="5771" t="s">
        <v>2827</v>
      </c>
      <c r="E322" s="5771" t="s">
        <v>2828</v>
      </c>
      <c r="F322" s="5771" t="s">
        <v>2789</v>
      </c>
      <c r="G322" s="5771" t="s">
        <v>2829</v>
      </c>
      <c r="H322" s="5771" t="s">
        <v>28</v>
      </c>
      <c r="I322" s="5771" t="s">
        <v>1018</v>
      </c>
    </row>
    <row customHeight="1" ht="11.25">
      <c r="A323" s="5771" t="s">
        <v>2364</v>
      </c>
      <c r="B323" s="5771" t="s">
        <v>16</v>
      </c>
      <c r="C323" s="5771" t="s">
        <v>2442</v>
      </c>
      <c r="D323" s="5771" t="s">
        <v>2443</v>
      </c>
      <c r="E323" s="5771" t="s">
        <v>2444</v>
      </c>
      <c r="F323" s="5771" t="s">
        <v>2367</v>
      </c>
      <c r="G323" s="5771" t="s">
        <v>2445</v>
      </c>
      <c r="H323" s="5771" t="s">
        <v>28</v>
      </c>
      <c r="I323" s="5771" t="s">
        <v>1018</v>
      </c>
    </row>
    <row customHeight="1" ht="11.25">
      <c r="A324" s="5771" t="s">
        <v>2364</v>
      </c>
      <c r="B324" s="5771" t="s">
        <v>16</v>
      </c>
      <c r="C324" s="5771" t="s">
        <v>2830</v>
      </c>
      <c r="D324" s="5771" t="s">
        <v>2831</v>
      </c>
      <c r="E324" s="5771" t="s">
        <v>2832</v>
      </c>
      <c r="F324" s="5771" t="s">
        <v>2833</v>
      </c>
      <c r="G324" s="5771" t="s">
        <v>28</v>
      </c>
      <c r="H324" s="5771" t="s">
        <v>28</v>
      </c>
      <c r="I324" s="5771" t="s">
        <v>1018</v>
      </c>
    </row>
    <row customHeight="1" ht="11.25">
      <c r="A325" s="5771" t="s">
        <v>2364</v>
      </c>
      <c r="B325" s="5771" t="s">
        <v>16</v>
      </c>
      <c r="C325" s="5771" t="s">
        <v>2464</v>
      </c>
      <c r="D325" s="5771" t="s">
        <v>2465</v>
      </c>
      <c r="E325" s="5771" t="s">
        <v>2462</v>
      </c>
      <c r="F325" s="5771" t="s">
        <v>2466</v>
      </c>
      <c r="G325" s="5771" t="s">
        <v>28</v>
      </c>
      <c r="H325" s="5771" t="s">
        <v>28</v>
      </c>
      <c r="I325" s="5771" t="s">
        <v>1018</v>
      </c>
    </row>
    <row customHeight="1" ht="11.25">
      <c r="A326" s="5771" t="s">
        <v>2364</v>
      </c>
      <c r="B326" s="5771" t="s">
        <v>16</v>
      </c>
      <c r="C326" s="5771" t="s">
        <v>2834</v>
      </c>
      <c r="D326" s="5771" t="s">
        <v>2835</v>
      </c>
      <c r="E326" s="5771" t="s">
        <v>2836</v>
      </c>
      <c r="F326" s="5771" t="s">
        <v>2499</v>
      </c>
      <c r="G326" s="5771" t="s">
        <v>28</v>
      </c>
      <c r="H326" s="5771" t="s">
        <v>28</v>
      </c>
      <c r="I326" s="5771" t="s">
        <v>1018</v>
      </c>
    </row>
    <row customHeight="1" ht="11.25">
      <c r="A327" s="5771" t="s">
        <v>2364</v>
      </c>
      <c r="B327" s="5771" t="s">
        <v>16</v>
      </c>
      <c r="C327" s="5771" t="s">
        <v>2840</v>
      </c>
      <c r="D327" s="5771" t="s">
        <v>2841</v>
      </c>
      <c r="E327" s="5771" t="s">
        <v>2842</v>
      </c>
      <c r="F327" s="5771" t="s">
        <v>687</v>
      </c>
      <c r="G327" s="5771" t="s">
        <v>28</v>
      </c>
      <c r="H327" s="5771" t="s">
        <v>28</v>
      </c>
      <c r="I327" s="5771" t="s">
        <v>1018</v>
      </c>
    </row>
    <row customHeight="1" ht="11.25">
      <c r="A328" s="5771" t="s">
        <v>2364</v>
      </c>
      <c r="B328" s="5771" t="s">
        <v>16</v>
      </c>
      <c r="C328" s="5771" t="s">
        <v>13</v>
      </c>
      <c r="D328" s="5771" t="s">
        <v>47</v>
      </c>
      <c r="E328" s="5771" t="s">
        <v>50</v>
      </c>
      <c r="F328" s="5771" t="s">
        <v>52</v>
      </c>
      <c r="G328" s="5771" t="s">
        <v>28</v>
      </c>
      <c r="H328" s="5771" t="s">
        <v>28</v>
      </c>
      <c r="I328" s="5771" t="s">
        <v>1018</v>
      </c>
    </row>
    <row customHeight="1" ht="11.25">
      <c r="A329" s="5771" t="s">
        <v>2364</v>
      </c>
      <c r="B329" s="5771" t="s">
        <v>16</v>
      </c>
      <c r="C329" s="5771" t="s">
        <v>2796</v>
      </c>
      <c r="D329" s="5771" t="s">
        <v>47</v>
      </c>
      <c r="E329" s="5771" t="s">
        <v>50</v>
      </c>
      <c r="F329" s="5771" t="s">
        <v>2797</v>
      </c>
      <c r="G329" s="5771" t="s">
        <v>28</v>
      </c>
      <c r="H329" s="5771" t="s">
        <v>28</v>
      </c>
      <c r="I329" s="5771" t="s">
        <v>1018</v>
      </c>
    </row>
    <row customHeight="1" ht="11.25">
      <c r="A330" s="5771" t="s">
        <v>2364</v>
      </c>
      <c r="B330" s="5771" t="s">
        <v>16</v>
      </c>
      <c r="C330" s="5771" t="s">
        <v>2798</v>
      </c>
      <c r="D330" s="5771" t="s">
        <v>47</v>
      </c>
      <c r="E330" s="5771" t="s">
        <v>50</v>
      </c>
      <c r="F330" s="5771" t="s">
        <v>2799</v>
      </c>
      <c r="G330" s="5771" t="s">
        <v>28</v>
      </c>
      <c r="H330" s="5771" t="s">
        <v>28</v>
      </c>
      <c r="I330" s="5771" t="s">
        <v>1018</v>
      </c>
    </row>
    <row customHeight="1" ht="11.25">
      <c r="A331" s="5771" t="s">
        <v>2364</v>
      </c>
      <c r="B331" s="5771" t="s">
        <v>16</v>
      </c>
      <c r="C331" s="5771" t="s">
        <v>2800</v>
      </c>
      <c r="D331" s="5771" t="s">
        <v>47</v>
      </c>
      <c r="E331" s="5771" t="s">
        <v>50</v>
      </c>
      <c r="F331" s="5771" t="s">
        <v>2801</v>
      </c>
      <c r="G331" s="5771" t="s">
        <v>28</v>
      </c>
      <c r="H331" s="5771" t="s">
        <v>28</v>
      </c>
      <c r="I331" s="5771" t="s">
        <v>1018</v>
      </c>
    </row>
    <row customHeight="1" ht="11.25">
      <c r="A332" s="5771" t="s">
        <v>2364</v>
      </c>
      <c r="B332" s="5771" t="s">
        <v>16</v>
      </c>
      <c r="C332" s="5771" t="s">
        <v>2846</v>
      </c>
      <c r="D332" s="5771" t="s">
        <v>47</v>
      </c>
      <c r="E332" s="5771" t="s">
        <v>50</v>
      </c>
      <c r="F332" s="5771" t="s">
        <v>2847</v>
      </c>
      <c r="G332" s="5771" t="s">
        <v>28</v>
      </c>
      <c r="H332" s="5771" t="s">
        <v>28</v>
      </c>
      <c r="I332" s="5771" t="s">
        <v>1018</v>
      </c>
    </row>
    <row customHeight="1" ht="11.25">
      <c r="A333" s="5771" t="s">
        <v>2364</v>
      </c>
      <c r="B333" s="5771" t="s">
        <v>16</v>
      </c>
      <c r="C333" s="5771" t="s">
        <v>2802</v>
      </c>
      <c r="D333" s="5771" t="s">
        <v>47</v>
      </c>
      <c r="E333" s="5771" t="s">
        <v>50</v>
      </c>
      <c r="F333" s="5771" t="s">
        <v>2803</v>
      </c>
      <c r="G333" s="5771" t="s">
        <v>28</v>
      </c>
      <c r="H333" s="5771" t="s">
        <v>28</v>
      </c>
      <c r="I333" s="5771" t="s">
        <v>1018</v>
      </c>
    </row>
    <row customHeight="1" ht="11.25">
      <c r="A334" s="5771" t="s">
        <v>2364</v>
      </c>
      <c r="B334" s="5771" t="s">
        <v>16</v>
      </c>
      <c r="C334" s="5771" t="s">
        <v>2804</v>
      </c>
      <c r="D334" s="5771" t="s">
        <v>47</v>
      </c>
      <c r="E334" s="5771" t="s">
        <v>50</v>
      </c>
      <c r="F334" s="5771" t="s">
        <v>2805</v>
      </c>
      <c r="G334" s="5771" t="s">
        <v>28</v>
      </c>
      <c r="H334" s="5771" t="s">
        <v>28</v>
      </c>
      <c r="I334" s="5771" t="s">
        <v>1018</v>
      </c>
    </row>
    <row customHeight="1" ht="11.25">
      <c r="A335" s="5771" t="s">
        <v>2364</v>
      </c>
      <c r="B335" s="5771" t="s">
        <v>16</v>
      </c>
      <c r="C335" s="5771" t="s">
        <v>2806</v>
      </c>
      <c r="D335" s="5771" t="s">
        <v>47</v>
      </c>
      <c r="E335" s="5771" t="s">
        <v>50</v>
      </c>
      <c r="F335" s="5771" t="s">
        <v>2807</v>
      </c>
      <c r="G335" s="5771" t="s">
        <v>28</v>
      </c>
      <c r="H335" s="5771" t="s">
        <v>28</v>
      </c>
      <c r="I335" s="5771" t="s">
        <v>1018</v>
      </c>
    </row>
    <row customHeight="1" ht="11.25">
      <c r="A336" s="5771" t="s">
        <v>2364</v>
      </c>
      <c r="B336" s="5771" t="s">
        <v>16</v>
      </c>
      <c r="C336" s="5771" t="s">
        <v>2808</v>
      </c>
      <c r="D336" s="5771" t="s">
        <v>47</v>
      </c>
      <c r="E336" s="5771" t="s">
        <v>50</v>
      </c>
      <c r="F336" s="5771" t="s">
        <v>2809</v>
      </c>
      <c r="G336" s="5771" t="s">
        <v>28</v>
      </c>
      <c r="H336" s="5771" t="s">
        <v>28</v>
      </c>
      <c r="I336" s="5771" t="s">
        <v>1018</v>
      </c>
    </row>
    <row customHeight="1" ht="11.25">
      <c r="A337" s="5771" t="s">
        <v>2364</v>
      </c>
      <c r="B337" s="5771" t="s">
        <v>16</v>
      </c>
      <c r="C337" s="5771" t="s">
        <v>2810</v>
      </c>
      <c r="D337" s="5771" t="s">
        <v>47</v>
      </c>
      <c r="E337" s="5771" t="s">
        <v>50</v>
      </c>
      <c r="F337" s="5771" t="s">
        <v>2811</v>
      </c>
      <c r="G337" s="5771" t="s">
        <v>28</v>
      </c>
      <c r="H337" s="5771" t="s">
        <v>28</v>
      </c>
      <c r="I337" s="5771" t="s">
        <v>1018</v>
      </c>
    </row>
    <row customHeight="1" ht="11.25">
      <c r="A338" s="5771" t="s">
        <v>2364</v>
      </c>
      <c r="B338" s="5771" t="s">
        <v>16</v>
      </c>
      <c r="C338" s="5771" t="s">
        <v>2510</v>
      </c>
      <c r="D338" s="5771" t="s">
        <v>47</v>
      </c>
      <c r="E338" s="5771" t="s">
        <v>50</v>
      </c>
      <c r="F338" s="5771" t="s">
        <v>2509</v>
      </c>
      <c r="G338" s="5771" t="s">
        <v>28</v>
      </c>
      <c r="H338" s="5771" t="s">
        <v>28</v>
      </c>
      <c r="I338" s="5771" t="s">
        <v>1018</v>
      </c>
    </row>
    <row customHeight="1" ht="11.25">
      <c r="A339" s="5771" t="s">
        <v>2364</v>
      </c>
      <c r="B339" s="5771" t="s">
        <v>16</v>
      </c>
      <c r="C339" s="5771" t="s">
        <v>2848</v>
      </c>
      <c r="D339" s="5771" t="s">
        <v>2849</v>
      </c>
      <c r="E339" s="5771" t="s">
        <v>2850</v>
      </c>
      <c r="F339" s="5771" t="s">
        <v>2396</v>
      </c>
      <c r="G339" s="5771" t="s">
        <v>28</v>
      </c>
      <c r="H339" s="5771" t="s">
        <v>28</v>
      </c>
      <c r="I339" s="5771" t="s">
        <v>1018</v>
      </c>
    </row>
    <row customHeight="1" ht="11.25">
      <c r="A340" s="5771" t="s">
        <v>2364</v>
      </c>
      <c r="B340" s="5771" t="s">
        <v>16</v>
      </c>
      <c r="C340" s="5771" t="s">
        <v>2851</v>
      </c>
      <c r="D340" s="5771" t="s">
        <v>2849</v>
      </c>
      <c r="E340" s="5771" t="s">
        <v>2850</v>
      </c>
      <c r="F340" s="5771" t="s">
        <v>2852</v>
      </c>
      <c r="G340" s="5771" t="s">
        <v>28</v>
      </c>
      <c r="H340" s="5771" t="s">
        <v>28</v>
      </c>
      <c r="I340" s="5771" t="s">
        <v>1018</v>
      </c>
    </row>
    <row customHeight="1" ht="11.25">
      <c r="A341" s="5771" t="s">
        <v>2364</v>
      </c>
      <c r="B341" s="5771" t="s">
        <v>16</v>
      </c>
      <c r="C341" s="5771" t="s">
        <v>2853</v>
      </c>
      <c r="D341" s="5771" t="s">
        <v>2813</v>
      </c>
      <c r="E341" s="5771" t="s">
        <v>50</v>
      </c>
      <c r="F341" s="5771" t="s">
        <v>2854</v>
      </c>
      <c r="G341" s="5771" t="s">
        <v>28</v>
      </c>
      <c r="H341" s="5771" t="s">
        <v>28</v>
      </c>
      <c r="I341" s="5771" t="s">
        <v>1018</v>
      </c>
    </row>
    <row customHeight="1" ht="11.25">
      <c r="A342" s="5771" t="s">
        <v>2364</v>
      </c>
      <c r="B342" s="5771" t="s">
        <v>16</v>
      </c>
      <c r="C342" s="5771" t="s">
        <v>2812</v>
      </c>
      <c r="D342" s="5771" t="s">
        <v>2813</v>
      </c>
      <c r="E342" s="5771" t="s">
        <v>50</v>
      </c>
      <c r="F342" s="5771" t="s">
        <v>2814</v>
      </c>
      <c r="G342" s="5771" t="s">
        <v>28</v>
      </c>
      <c r="H342" s="5771" t="s">
        <v>28</v>
      </c>
      <c r="I342" s="5771" t="s">
        <v>1018</v>
      </c>
    </row>
    <row customHeight="1" ht="11.25">
      <c r="A343" s="5771" t="s">
        <v>2364</v>
      </c>
      <c r="B343" s="5771" t="s">
        <v>16</v>
      </c>
      <c r="C343" s="5771" t="s">
        <v>3115</v>
      </c>
      <c r="D343" s="5771" t="s">
        <v>3116</v>
      </c>
      <c r="E343" s="5771" t="s">
        <v>3117</v>
      </c>
      <c r="F343" s="5771" t="s">
        <v>2628</v>
      </c>
      <c r="G343" s="5771" t="s">
        <v>3118</v>
      </c>
      <c r="H343" s="5771" t="s">
        <v>28</v>
      </c>
      <c r="I343" s="5771" t="s">
        <v>1018</v>
      </c>
    </row>
    <row customHeight="1" ht="11.25">
      <c r="A344" s="5771" t="s">
        <v>2364</v>
      </c>
      <c r="B344" s="5771" t="s">
        <v>16</v>
      </c>
      <c r="C344" s="5771" t="s">
        <v>2858</v>
      </c>
      <c r="D344" s="5771" t="s">
        <v>2859</v>
      </c>
      <c r="E344" s="5771" t="s">
        <v>2860</v>
      </c>
      <c r="F344" s="5771" t="s">
        <v>2598</v>
      </c>
      <c r="G344" s="5771" t="s">
        <v>28</v>
      </c>
      <c r="H344" s="5771" t="s">
        <v>28</v>
      </c>
      <c r="I344" s="5771" t="s">
        <v>1018</v>
      </c>
    </row>
    <row customHeight="1" ht="11.25">
      <c r="A345" s="5771" t="s">
        <v>2364</v>
      </c>
      <c r="B345" s="5771" t="s">
        <v>16</v>
      </c>
      <c r="C345" s="5771" t="s">
        <v>2861</v>
      </c>
      <c r="D345" s="5771" t="s">
        <v>2862</v>
      </c>
      <c r="E345" s="5771" t="s">
        <v>2863</v>
      </c>
      <c r="F345" s="5771" t="s">
        <v>2707</v>
      </c>
      <c r="G345" s="5771" t="s">
        <v>28</v>
      </c>
      <c r="H345" s="5771" t="s">
        <v>28</v>
      </c>
      <c r="I345" s="5771" t="s">
        <v>1018</v>
      </c>
    </row>
    <row customHeight="1" ht="11.25">
      <c r="A346" s="5771" t="s">
        <v>2364</v>
      </c>
      <c r="B346" s="5771" t="s">
        <v>16</v>
      </c>
      <c r="C346" s="5771" t="s">
        <v>2864</v>
      </c>
      <c r="D346" s="5771" t="s">
        <v>2865</v>
      </c>
      <c r="E346" s="5771" t="s">
        <v>2866</v>
      </c>
      <c r="F346" s="5771" t="s">
        <v>2425</v>
      </c>
      <c r="G346" s="5771" t="s">
        <v>28</v>
      </c>
      <c r="H346" s="5771" t="s">
        <v>28</v>
      </c>
      <c r="I346" s="5771" t="s">
        <v>1018</v>
      </c>
    </row>
    <row customHeight="1" ht="11.25">
      <c r="A347" s="5771" t="s">
        <v>2364</v>
      </c>
      <c r="B347" s="5771" t="s">
        <v>16</v>
      </c>
      <c r="C347" s="5771" t="s">
        <v>2867</v>
      </c>
      <c r="D347" s="5771" t="s">
        <v>2868</v>
      </c>
      <c r="E347" s="5771" t="s">
        <v>2869</v>
      </c>
      <c r="F347" s="5771" t="s">
        <v>2518</v>
      </c>
      <c r="G347" s="5771" t="s">
        <v>28</v>
      </c>
      <c r="H347" s="5771" t="s">
        <v>28</v>
      </c>
      <c r="I347" s="5771" t="s">
        <v>1018</v>
      </c>
    </row>
    <row customHeight="1" ht="11.25">
      <c r="A348" s="5771" t="s">
        <v>2364</v>
      </c>
      <c r="B348" s="5771" t="s">
        <v>16</v>
      </c>
      <c r="C348" s="5771" t="s">
        <v>2874</v>
      </c>
      <c r="D348" s="5771" t="s">
        <v>2875</v>
      </c>
      <c r="E348" s="5771" t="s">
        <v>2876</v>
      </c>
      <c r="F348" s="5771" t="s">
        <v>2425</v>
      </c>
      <c r="G348" s="5771" t="s">
        <v>28</v>
      </c>
      <c r="H348" s="5771" t="s">
        <v>28</v>
      </c>
      <c r="I348" s="5771" t="s">
        <v>1018</v>
      </c>
    </row>
    <row customHeight="1" ht="11.25">
      <c r="A349" s="5771" t="s">
        <v>2364</v>
      </c>
      <c r="B349" s="5771" t="s">
        <v>16</v>
      </c>
      <c r="C349" s="5771" t="s">
        <v>2515</v>
      </c>
      <c r="D349" s="5771" t="s">
        <v>2516</v>
      </c>
      <c r="E349" s="5771" t="s">
        <v>2517</v>
      </c>
      <c r="F349" s="5771" t="s">
        <v>2518</v>
      </c>
      <c r="G349" s="5771" t="s">
        <v>28</v>
      </c>
      <c r="H349" s="5771" t="s">
        <v>28</v>
      </c>
      <c r="I349" s="5771" t="s">
        <v>1018</v>
      </c>
    </row>
    <row customHeight="1" ht="11.25">
      <c r="A350" s="5771" t="s">
        <v>2364</v>
      </c>
      <c r="B350" s="5771" t="s">
        <v>16</v>
      </c>
      <c r="C350" s="5771" t="s">
        <v>2877</v>
      </c>
      <c r="D350" s="5771" t="s">
        <v>2878</v>
      </c>
      <c r="E350" s="5771" t="s">
        <v>2879</v>
      </c>
      <c r="F350" s="5771" t="s">
        <v>2536</v>
      </c>
      <c r="G350" s="5771" t="s">
        <v>2880</v>
      </c>
      <c r="H350" s="5771" t="s">
        <v>28</v>
      </c>
      <c r="I350" s="5771" t="s">
        <v>1018</v>
      </c>
    </row>
    <row customHeight="1" ht="11.25">
      <c r="A351" s="5771" t="s">
        <v>2364</v>
      </c>
      <c r="B351" s="5771" t="s">
        <v>16</v>
      </c>
      <c r="C351" s="5771" t="s">
        <v>2881</v>
      </c>
      <c r="D351" s="5771" t="s">
        <v>2882</v>
      </c>
      <c r="E351" s="5771" t="s">
        <v>2883</v>
      </c>
      <c r="F351" s="5771" t="s">
        <v>2884</v>
      </c>
      <c r="G351" s="5771" t="s">
        <v>28</v>
      </c>
      <c r="H351" s="5771" t="s">
        <v>28</v>
      </c>
      <c r="I351" s="5771" t="s">
        <v>1018</v>
      </c>
    </row>
    <row customHeight="1" ht="11.25">
      <c r="A352" s="5771" t="s">
        <v>2364</v>
      </c>
      <c r="B352" s="5771" t="s">
        <v>16</v>
      </c>
      <c r="C352" s="5771" t="s">
        <v>2885</v>
      </c>
      <c r="D352" s="5771" t="s">
        <v>2886</v>
      </c>
      <c r="E352" s="5771" t="s">
        <v>2887</v>
      </c>
      <c r="F352" s="5771" t="s">
        <v>2536</v>
      </c>
      <c r="G352" s="5771" t="s">
        <v>28</v>
      </c>
      <c r="H352" s="5771" t="s">
        <v>28</v>
      </c>
      <c r="I352" s="5771" t="s">
        <v>1018</v>
      </c>
    </row>
    <row customHeight="1" ht="11.25">
      <c r="A353" s="5771" t="s">
        <v>2364</v>
      </c>
      <c r="B353" s="5771" t="s">
        <v>16</v>
      </c>
      <c r="C353" s="5771" t="s">
        <v>2888</v>
      </c>
      <c r="D353" s="5771" t="s">
        <v>2889</v>
      </c>
      <c r="E353" s="5771" t="s">
        <v>2890</v>
      </c>
      <c r="F353" s="5771" t="s">
        <v>2404</v>
      </c>
      <c r="G353" s="5771" t="s">
        <v>2891</v>
      </c>
      <c r="H353" s="5771" t="s">
        <v>28</v>
      </c>
      <c r="I353" s="5771" t="s">
        <v>1018</v>
      </c>
    </row>
    <row customHeight="1" ht="11.25">
      <c r="A354" s="5771" t="s">
        <v>2364</v>
      </c>
      <c r="B354" s="5771" t="s">
        <v>16</v>
      </c>
      <c r="C354" s="5771" t="s">
        <v>2892</v>
      </c>
      <c r="D354" s="5771" t="s">
        <v>2893</v>
      </c>
      <c r="E354" s="5771" t="s">
        <v>2894</v>
      </c>
      <c r="F354" s="5771" t="s">
        <v>2404</v>
      </c>
      <c r="G354" s="5771" t="s">
        <v>2895</v>
      </c>
      <c r="H354" s="5771" t="s">
        <v>28</v>
      </c>
      <c r="I354" s="5771" t="s">
        <v>1018</v>
      </c>
    </row>
    <row customHeight="1" ht="11.25">
      <c r="A355" s="5771" t="s">
        <v>2364</v>
      </c>
      <c r="B355" s="5771" t="s">
        <v>16</v>
      </c>
      <c r="C355" s="5771" t="s">
        <v>2522</v>
      </c>
      <c r="D355" s="5771" t="s">
        <v>2523</v>
      </c>
      <c r="E355" s="5771" t="s">
        <v>2524</v>
      </c>
      <c r="F355" s="5771" t="s">
        <v>2525</v>
      </c>
      <c r="G355" s="5771" t="s">
        <v>28</v>
      </c>
      <c r="H355" s="5771" t="s">
        <v>28</v>
      </c>
      <c r="I355" s="5771" t="s">
        <v>1018</v>
      </c>
    </row>
    <row customHeight="1" ht="11.25">
      <c r="A356" s="5771" t="s">
        <v>2364</v>
      </c>
      <c r="B356" s="5771" t="s">
        <v>16</v>
      </c>
      <c r="C356" s="5771" t="s">
        <v>3119</v>
      </c>
      <c r="D356" s="5771" t="s">
        <v>3120</v>
      </c>
      <c r="E356" s="5771" t="s">
        <v>3121</v>
      </c>
      <c r="F356" s="5771" t="s">
        <v>2536</v>
      </c>
      <c r="G356" s="5771" t="s">
        <v>28</v>
      </c>
      <c r="H356" s="5771" t="s">
        <v>28</v>
      </c>
      <c r="I356" s="5771" t="s">
        <v>1018</v>
      </c>
    </row>
    <row customHeight="1" ht="11.25">
      <c r="A357" s="5771" t="s">
        <v>2364</v>
      </c>
      <c r="B357" s="5771" t="s">
        <v>16</v>
      </c>
      <c r="C357" s="5771" t="s">
        <v>2526</v>
      </c>
      <c r="D357" s="5771" t="s">
        <v>2527</v>
      </c>
      <c r="E357" s="5771" t="s">
        <v>2528</v>
      </c>
      <c r="F357" s="5771" t="s">
        <v>2529</v>
      </c>
      <c r="G357" s="5771" t="s">
        <v>28</v>
      </c>
      <c r="H357" s="5771" t="s">
        <v>28</v>
      </c>
      <c r="I357" s="5771" t="s">
        <v>1018</v>
      </c>
    </row>
    <row customHeight="1" ht="11.25">
      <c r="A358" s="5771" t="s">
        <v>2364</v>
      </c>
      <c r="B358" s="5771" t="s">
        <v>16</v>
      </c>
      <c r="C358" s="5771" t="s">
        <v>2530</v>
      </c>
      <c r="D358" s="5771" t="s">
        <v>2531</v>
      </c>
      <c r="E358" s="5771" t="s">
        <v>2532</v>
      </c>
      <c r="F358" s="5771" t="s">
        <v>2529</v>
      </c>
      <c r="G358" s="5771" t="s">
        <v>28</v>
      </c>
      <c r="H358" s="5771" t="s">
        <v>28</v>
      </c>
      <c r="I358" s="5771" t="s">
        <v>1018</v>
      </c>
    </row>
    <row customHeight="1" ht="11.25">
      <c r="A359" s="5771" t="s">
        <v>2364</v>
      </c>
      <c r="B359" s="5771" t="s">
        <v>16</v>
      </c>
      <c r="C359" s="5771" t="s">
        <v>2533</v>
      </c>
      <c r="D359" s="5771" t="s">
        <v>2534</v>
      </c>
      <c r="E359" s="5771" t="s">
        <v>2535</v>
      </c>
      <c r="F359" s="5771" t="s">
        <v>2536</v>
      </c>
      <c r="G359" s="5771" t="s">
        <v>28</v>
      </c>
      <c r="H359" s="5771" t="s">
        <v>28</v>
      </c>
      <c r="I359" s="5771" t="s">
        <v>1018</v>
      </c>
    </row>
    <row customHeight="1" ht="11.25">
      <c r="A360" s="5771" t="s">
        <v>2364</v>
      </c>
      <c r="B360" s="5771" t="s">
        <v>16</v>
      </c>
      <c r="C360" s="5771" t="s">
        <v>2896</v>
      </c>
      <c r="D360" s="5771" t="s">
        <v>2897</v>
      </c>
      <c r="E360" s="5771" t="s">
        <v>2898</v>
      </c>
      <c r="F360" s="5771" t="s">
        <v>2470</v>
      </c>
      <c r="G360" s="5771" t="s">
        <v>28</v>
      </c>
      <c r="H360" s="5771" t="s">
        <v>28</v>
      </c>
      <c r="I360" s="5771" t="s">
        <v>1018</v>
      </c>
    </row>
    <row customHeight="1" ht="11.25">
      <c r="A361" s="5771" t="s">
        <v>2364</v>
      </c>
      <c r="B361" s="5771" t="s">
        <v>16</v>
      </c>
      <c r="C361" s="5771" t="s">
        <v>2899</v>
      </c>
      <c r="D361" s="5771" t="s">
        <v>2900</v>
      </c>
      <c r="E361" s="5771" t="s">
        <v>2901</v>
      </c>
      <c r="F361" s="5771" t="s">
        <v>2433</v>
      </c>
      <c r="G361" s="5771" t="s">
        <v>2902</v>
      </c>
      <c r="H361" s="5771" t="s">
        <v>28</v>
      </c>
      <c r="I361" s="5771" t="s">
        <v>1018</v>
      </c>
    </row>
    <row customHeight="1" ht="11.25">
      <c r="A362" s="5771" t="s">
        <v>2364</v>
      </c>
      <c r="B362" s="5771" t="s">
        <v>16</v>
      </c>
      <c r="C362" s="5771" t="s">
        <v>2903</v>
      </c>
      <c r="D362" s="5771" t="s">
        <v>2904</v>
      </c>
      <c r="E362" s="5771" t="s">
        <v>2905</v>
      </c>
      <c r="F362" s="5771" t="s">
        <v>2491</v>
      </c>
      <c r="G362" s="5771" t="s">
        <v>2906</v>
      </c>
      <c r="H362" s="5771" t="s">
        <v>28</v>
      </c>
      <c r="I362" s="5771" t="s">
        <v>1018</v>
      </c>
    </row>
    <row customHeight="1" ht="11.25">
      <c r="A363" s="5771" t="s">
        <v>2364</v>
      </c>
      <c r="B363" s="5771" t="s">
        <v>16</v>
      </c>
      <c r="C363" s="5771" t="s">
        <v>2537</v>
      </c>
      <c r="D363" s="5771" t="s">
        <v>2538</v>
      </c>
      <c r="E363" s="5771" t="s">
        <v>2539</v>
      </c>
      <c r="F363" s="5771" t="s">
        <v>2404</v>
      </c>
      <c r="G363" s="5771" t="s">
        <v>28</v>
      </c>
      <c r="H363" s="5771" t="s">
        <v>28</v>
      </c>
      <c r="I363" s="5771" t="s">
        <v>1018</v>
      </c>
    </row>
    <row customHeight="1" ht="11.25">
      <c r="A364" s="5771" t="s">
        <v>2364</v>
      </c>
      <c r="B364" s="5771" t="s">
        <v>16</v>
      </c>
      <c r="C364" s="5771" t="s">
        <v>2907</v>
      </c>
      <c r="D364" s="5771" t="s">
        <v>2908</v>
      </c>
      <c r="E364" s="5771" t="s">
        <v>2909</v>
      </c>
      <c r="F364" s="5771" t="s">
        <v>2873</v>
      </c>
      <c r="G364" s="5771" t="s">
        <v>28</v>
      </c>
      <c r="H364" s="5771" t="s">
        <v>28</v>
      </c>
      <c r="I364" s="5771" t="s">
        <v>1018</v>
      </c>
    </row>
    <row customHeight="1" ht="11.25">
      <c r="A365" s="5771" t="s">
        <v>2364</v>
      </c>
      <c r="B365" s="5771" t="s">
        <v>16</v>
      </c>
      <c r="C365" s="5771" t="s">
        <v>2540</v>
      </c>
      <c r="D365" s="5771" t="s">
        <v>2541</v>
      </c>
      <c r="E365" s="5771" t="s">
        <v>2542</v>
      </c>
      <c r="F365" s="5771" t="s">
        <v>2525</v>
      </c>
      <c r="G365" s="5771" t="s">
        <v>28</v>
      </c>
      <c r="H365" s="5771" t="s">
        <v>28</v>
      </c>
      <c r="I365" s="5771" t="s">
        <v>1018</v>
      </c>
    </row>
    <row customHeight="1" ht="11.25">
      <c r="A366" s="5771" t="s">
        <v>2364</v>
      </c>
      <c r="B366" s="5771" t="s">
        <v>16</v>
      </c>
      <c r="C366" s="5771" t="s">
        <v>2910</v>
      </c>
      <c r="D366" s="5771" t="s">
        <v>2911</v>
      </c>
      <c r="E366" s="5771" t="s">
        <v>2912</v>
      </c>
      <c r="F366" s="5771" t="s">
        <v>2433</v>
      </c>
      <c r="G366" s="5771" t="s">
        <v>28</v>
      </c>
      <c r="H366" s="5771" t="s">
        <v>28</v>
      </c>
      <c r="I366" s="5771" t="s">
        <v>1018</v>
      </c>
    </row>
    <row customHeight="1" ht="11.25">
      <c r="A367" s="5771" t="s">
        <v>2364</v>
      </c>
      <c r="B367" s="5771" t="s">
        <v>16</v>
      </c>
      <c r="C367" s="5771" t="s">
        <v>2913</v>
      </c>
      <c r="D367" s="5771" t="s">
        <v>2914</v>
      </c>
      <c r="E367" s="5771" t="s">
        <v>2915</v>
      </c>
      <c r="F367" s="5771" t="s">
        <v>2789</v>
      </c>
      <c r="G367" s="5771" t="s">
        <v>28</v>
      </c>
      <c r="H367" s="5771" t="s">
        <v>28</v>
      </c>
      <c r="I367" s="5771" t="s">
        <v>1018</v>
      </c>
    </row>
    <row customHeight="1" ht="11.25">
      <c r="A368" s="5771" t="s">
        <v>2364</v>
      </c>
      <c r="B368" s="5771" t="s">
        <v>16</v>
      </c>
      <c r="C368" s="5771" t="s">
        <v>2916</v>
      </c>
      <c r="D368" s="5771" t="s">
        <v>2917</v>
      </c>
      <c r="E368" s="5771" t="s">
        <v>2918</v>
      </c>
      <c r="F368" s="5771" t="s">
        <v>2371</v>
      </c>
      <c r="G368" s="5771" t="s">
        <v>28</v>
      </c>
      <c r="H368" s="5771" t="s">
        <v>28</v>
      </c>
      <c r="I368" s="5771" t="s">
        <v>1018</v>
      </c>
    </row>
    <row customHeight="1" ht="11.25">
      <c r="A369" s="5771" t="s">
        <v>2364</v>
      </c>
      <c r="B369" s="5771" t="s">
        <v>16</v>
      </c>
      <c r="C369" s="5771" t="s">
        <v>2543</v>
      </c>
      <c r="D369" s="5771" t="s">
        <v>2544</v>
      </c>
      <c r="E369" s="5771" t="s">
        <v>2545</v>
      </c>
      <c r="F369" s="5771" t="s">
        <v>2546</v>
      </c>
      <c r="G369" s="5771" t="s">
        <v>28</v>
      </c>
      <c r="H369" s="5771" t="s">
        <v>28</v>
      </c>
      <c r="I369" s="5771" t="s">
        <v>1018</v>
      </c>
    </row>
    <row customHeight="1" ht="11.25">
      <c r="A370" s="5771" t="s">
        <v>2364</v>
      </c>
      <c r="B370" s="5771" t="s">
        <v>16</v>
      </c>
      <c r="C370" s="5771" t="s">
        <v>2919</v>
      </c>
      <c r="D370" s="5771" t="s">
        <v>2920</v>
      </c>
      <c r="E370" s="5771" t="s">
        <v>2921</v>
      </c>
      <c r="F370" s="5771" t="s">
        <v>2789</v>
      </c>
      <c r="G370" s="5771" t="s">
        <v>28</v>
      </c>
      <c r="H370" s="5771" t="s">
        <v>28</v>
      </c>
      <c r="I370" s="5771" t="s">
        <v>1018</v>
      </c>
    </row>
    <row customHeight="1" ht="11.25">
      <c r="A371" s="5771" t="s">
        <v>2364</v>
      </c>
      <c r="B371" s="5771" t="s">
        <v>16</v>
      </c>
      <c r="C371" s="5771" t="s">
        <v>2547</v>
      </c>
      <c r="D371" s="5771" t="s">
        <v>2548</v>
      </c>
      <c r="E371" s="5771" t="s">
        <v>2549</v>
      </c>
      <c r="F371" s="5771" t="s">
        <v>2509</v>
      </c>
      <c r="G371" s="5771" t="s">
        <v>28</v>
      </c>
      <c r="H371" s="5771" t="s">
        <v>28</v>
      </c>
      <c r="I371" s="5771" t="s">
        <v>1018</v>
      </c>
    </row>
    <row customHeight="1" ht="11.25">
      <c r="A372" s="5771" t="s">
        <v>2364</v>
      </c>
      <c r="B372" s="5771" t="s">
        <v>16</v>
      </c>
      <c r="C372" s="5771" t="s">
        <v>2557</v>
      </c>
      <c r="D372" s="5771" t="s">
        <v>2558</v>
      </c>
      <c r="E372" s="5771" t="s">
        <v>2559</v>
      </c>
      <c r="F372" s="5771" t="s">
        <v>2560</v>
      </c>
      <c r="G372" s="5771" t="s">
        <v>28</v>
      </c>
      <c r="H372" s="5771" t="s">
        <v>28</v>
      </c>
      <c r="I372" s="5771" t="s">
        <v>1018</v>
      </c>
    </row>
    <row customHeight="1" ht="11.25">
      <c r="A373" s="5771" t="s">
        <v>2364</v>
      </c>
      <c r="B373" s="5771" t="s">
        <v>16</v>
      </c>
      <c r="C373" s="5771" t="s">
        <v>3122</v>
      </c>
      <c r="D373" s="5771" t="s">
        <v>3123</v>
      </c>
      <c r="E373" s="5771" t="s">
        <v>3124</v>
      </c>
      <c r="F373" s="5771" t="s">
        <v>2425</v>
      </c>
      <c r="G373" s="5771" t="s">
        <v>28</v>
      </c>
      <c r="H373" s="5771" t="s">
        <v>28</v>
      </c>
      <c r="I373" s="5771" t="s">
        <v>1018</v>
      </c>
    </row>
    <row customHeight="1" ht="11.25">
      <c r="A374" s="5771" t="s">
        <v>2364</v>
      </c>
      <c r="B374" s="5771" t="s">
        <v>16</v>
      </c>
      <c r="C374" s="5771" t="s">
        <v>2580</v>
      </c>
      <c r="D374" s="5771" t="s">
        <v>2581</v>
      </c>
      <c r="E374" s="5771" t="s">
        <v>2582</v>
      </c>
      <c r="F374" s="5771" t="s">
        <v>2529</v>
      </c>
      <c r="G374" s="5771" t="s">
        <v>28</v>
      </c>
      <c r="H374" s="5771" t="s">
        <v>28</v>
      </c>
      <c r="I374" s="5771" t="s">
        <v>1018</v>
      </c>
    </row>
    <row customHeight="1" ht="11.25">
      <c r="A375" s="5771" t="s">
        <v>2364</v>
      </c>
      <c r="B375" s="5771" t="s">
        <v>16</v>
      </c>
      <c r="C375" s="5771" t="s">
        <v>2928</v>
      </c>
      <c r="D375" s="5771" t="s">
        <v>2929</v>
      </c>
      <c r="E375" s="5771" t="s">
        <v>2930</v>
      </c>
      <c r="F375" s="5771" t="s">
        <v>2404</v>
      </c>
      <c r="G375" s="5771" t="s">
        <v>2931</v>
      </c>
      <c r="H375" s="5771" t="s">
        <v>28</v>
      </c>
      <c r="I375" s="5771" t="s">
        <v>1018</v>
      </c>
    </row>
    <row customHeight="1" ht="11.25">
      <c r="A376" s="5771" t="s">
        <v>2364</v>
      </c>
      <c r="B376" s="5771" t="s">
        <v>16</v>
      </c>
      <c r="C376" s="5771" t="s">
        <v>2932</v>
      </c>
      <c r="D376" s="5771" t="s">
        <v>2933</v>
      </c>
      <c r="E376" s="5771" t="s">
        <v>2934</v>
      </c>
      <c r="F376" s="5771" t="s">
        <v>2416</v>
      </c>
      <c r="G376" s="5771" t="s">
        <v>2935</v>
      </c>
      <c r="H376" s="5771" t="s">
        <v>28</v>
      </c>
      <c r="I376" s="5771" t="s">
        <v>1018</v>
      </c>
    </row>
    <row customHeight="1" ht="11.25">
      <c r="A377" s="5771" t="s">
        <v>2364</v>
      </c>
      <c r="B377" s="5771" t="s">
        <v>16</v>
      </c>
      <c r="C377" s="5771" t="s">
        <v>2936</v>
      </c>
      <c r="D377" s="5771" t="s">
        <v>2937</v>
      </c>
      <c r="E377" s="5771" t="s">
        <v>2938</v>
      </c>
      <c r="F377" s="5771" t="s">
        <v>2686</v>
      </c>
      <c r="G377" s="5771" t="s">
        <v>2939</v>
      </c>
      <c r="H377" s="5771" t="s">
        <v>28</v>
      </c>
      <c r="I377" s="5771" t="s">
        <v>1018</v>
      </c>
    </row>
    <row customHeight="1" ht="11.25">
      <c r="A378" s="5771" t="s">
        <v>2364</v>
      </c>
      <c r="B378" s="5771" t="s">
        <v>16</v>
      </c>
      <c r="C378" s="5771" t="s">
        <v>2940</v>
      </c>
      <c r="D378" s="5771" t="s">
        <v>2941</v>
      </c>
      <c r="E378" s="5771" t="s">
        <v>2942</v>
      </c>
      <c r="F378" s="5771" t="s">
        <v>2943</v>
      </c>
      <c r="G378" s="5771" t="s">
        <v>28</v>
      </c>
      <c r="H378" s="5771" t="s">
        <v>28</v>
      </c>
      <c r="I378" s="5771" t="s">
        <v>1018</v>
      </c>
    </row>
    <row customHeight="1" ht="11.25">
      <c r="A379" s="5771" t="s">
        <v>2364</v>
      </c>
      <c r="B379" s="5771" t="s">
        <v>16</v>
      </c>
      <c r="C379" s="5771" t="s">
        <v>2948</v>
      </c>
      <c r="D379" s="5771" t="s">
        <v>2949</v>
      </c>
      <c r="E379" s="5771" t="s">
        <v>2950</v>
      </c>
      <c r="F379" s="5771" t="s">
        <v>2396</v>
      </c>
      <c r="G379" s="5771" t="s">
        <v>28</v>
      </c>
      <c r="H379" s="5771" t="s">
        <v>28</v>
      </c>
      <c r="I379" s="5771" t="s">
        <v>1018</v>
      </c>
    </row>
    <row customHeight="1" ht="11.25">
      <c r="A380" s="5771" t="s">
        <v>2364</v>
      </c>
      <c r="B380" s="5771" t="s">
        <v>16</v>
      </c>
      <c r="C380" s="5771" t="s">
        <v>2951</v>
      </c>
      <c r="D380" s="5771" t="s">
        <v>2952</v>
      </c>
      <c r="E380" s="5771" t="s">
        <v>2953</v>
      </c>
      <c r="F380" s="5771" t="s">
        <v>2954</v>
      </c>
      <c r="G380" s="5771" t="s">
        <v>28</v>
      </c>
      <c r="H380" s="5771" t="s">
        <v>28</v>
      </c>
      <c r="I380" s="5771" t="s">
        <v>1018</v>
      </c>
    </row>
    <row customHeight="1" ht="11.25">
      <c r="A381" s="5771" t="s">
        <v>2364</v>
      </c>
      <c r="B381" s="5771" t="s">
        <v>16</v>
      </c>
      <c r="C381" s="5771" t="s">
        <v>2955</v>
      </c>
      <c r="D381" s="5771" t="s">
        <v>2956</v>
      </c>
      <c r="E381" s="5771" t="s">
        <v>2957</v>
      </c>
      <c r="F381" s="5771" t="s">
        <v>2763</v>
      </c>
      <c r="G381" s="5771" t="s">
        <v>28</v>
      </c>
      <c r="H381" s="5771" t="s">
        <v>28</v>
      </c>
      <c r="I381" s="5771" t="s">
        <v>1018</v>
      </c>
    </row>
    <row customHeight="1" ht="11.25">
      <c r="A382" s="5771" t="s">
        <v>2364</v>
      </c>
      <c r="B382" s="5771" t="s">
        <v>16</v>
      </c>
      <c r="C382" s="5771" t="s">
        <v>3125</v>
      </c>
      <c r="D382" s="5771" t="s">
        <v>3126</v>
      </c>
      <c r="E382" s="5771" t="s">
        <v>3127</v>
      </c>
      <c r="F382" s="5771" t="s">
        <v>2375</v>
      </c>
      <c r="G382" s="5771" t="s">
        <v>2947</v>
      </c>
      <c r="H382" s="5771" t="s">
        <v>28</v>
      </c>
      <c r="I382" s="5771" t="s">
        <v>1018</v>
      </c>
    </row>
    <row customHeight="1" ht="11.25">
      <c r="A383" s="5771" t="s">
        <v>2364</v>
      </c>
      <c r="B383" s="5771" t="s">
        <v>16</v>
      </c>
      <c r="C383" s="5771" t="s">
        <v>3128</v>
      </c>
      <c r="D383" s="5771" t="s">
        <v>3126</v>
      </c>
      <c r="E383" s="5771" t="s">
        <v>3129</v>
      </c>
      <c r="F383" s="5771" t="s">
        <v>2789</v>
      </c>
      <c r="G383" s="5771" t="s">
        <v>2961</v>
      </c>
      <c r="H383" s="5771" t="s">
        <v>28</v>
      </c>
      <c r="I383" s="5771" t="s">
        <v>1018</v>
      </c>
    </row>
    <row customHeight="1" ht="11.25">
      <c r="A384" s="5771" t="s">
        <v>2364</v>
      </c>
      <c r="B384" s="5771" t="s">
        <v>16</v>
      </c>
      <c r="C384" s="5771" t="s">
        <v>2595</v>
      </c>
      <c r="D384" s="5771" t="s">
        <v>2596</v>
      </c>
      <c r="E384" s="5771" t="s">
        <v>2597</v>
      </c>
      <c r="F384" s="5771" t="s">
        <v>2598</v>
      </c>
      <c r="G384" s="5771" t="s">
        <v>2599</v>
      </c>
      <c r="H384" s="5771" t="s">
        <v>28</v>
      </c>
      <c r="I384" s="5771" t="s">
        <v>1018</v>
      </c>
    </row>
    <row customHeight="1" ht="11.25">
      <c r="A385" s="5771" t="s">
        <v>2364</v>
      </c>
      <c r="B385" s="5771" t="s">
        <v>16</v>
      </c>
      <c r="C385" s="5771" t="s">
        <v>2962</v>
      </c>
      <c r="D385" s="5771" t="s">
        <v>2963</v>
      </c>
      <c r="E385" s="5771" t="s">
        <v>2964</v>
      </c>
      <c r="F385" s="5771" t="s">
        <v>2404</v>
      </c>
      <c r="G385" s="5771" t="s">
        <v>28</v>
      </c>
      <c r="H385" s="5771" t="s">
        <v>28</v>
      </c>
      <c r="I385" s="5771" t="s">
        <v>1018</v>
      </c>
    </row>
    <row customHeight="1" ht="11.25">
      <c r="A386" s="5771" t="s">
        <v>2364</v>
      </c>
      <c r="B386" s="5771" t="s">
        <v>16</v>
      </c>
      <c r="C386" s="5771" t="s">
        <v>3130</v>
      </c>
      <c r="D386" s="5771" t="s">
        <v>3131</v>
      </c>
      <c r="E386" s="5771" t="s">
        <v>3132</v>
      </c>
      <c r="F386" s="5771" t="s">
        <v>2371</v>
      </c>
      <c r="G386" s="5771" t="s">
        <v>28</v>
      </c>
      <c r="H386" s="5771" t="s">
        <v>28</v>
      </c>
      <c r="I386" s="5771" t="s">
        <v>1018</v>
      </c>
    </row>
    <row customHeight="1" ht="11.25">
      <c r="A387" s="5771" t="s">
        <v>2364</v>
      </c>
      <c r="B387" s="5771" t="s">
        <v>16</v>
      </c>
      <c r="C387" s="5771" t="s">
        <v>2968</v>
      </c>
      <c r="D387" s="5771" t="s">
        <v>2969</v>
      </c>
      <c r="E387" s="5771" t="s">
        <v>2970</v>
      </c>
      <c r="F387" s="5771" t="s">
        <v>2367</v>
      </c>
      <c r="G387" s="5771" t="s">
        <v>28</v>
      </c>
      <c r="H387" s="5771" t="s">
        <v>28</v>
      </c>
      <c r="I387" s="5771" t="s">
        <v>1018</v>
      </c>
    </row>
    <row customHeight="1" ht="11.25">
      <c r="A388" s="5771" t="s">
        <v>2364</v>
      </c>
      <c r="B388" s="5771" t="s">
        <v>16</v>
      </c>
      <c r="C388" s="5771" t="s">
        <v>2971</v>
      </c>
      <c r="D388" s="5771" t="s">
        <v>2972</v>
      </c>
      <c r="E388" s="5771" t="s">
        <v>2973</v>
      </c>
      <c r="F388" s="5771" t="s">
        <v>2371</v>
      </c>
      <c r="G388" s="5771" t="s">
        <v>28</v>
      </c>
      <c r="H388" s="5771" t="s">
        <v>28</v>
      </c>
      <c r="I388" s="5771" t="s">
        <v>1018</v>
      </c>
    </row>
    <row customHeight="1" ht="11.25">
      <c r="A389" s="5771" t="s">
        <v>2364</v>
      </c>
      <c r="B389" s="5771" t="s">
        <v>16</v>
      </c>
      <c r="C389" s="5771" t="s">
        <v>2612</v>
      </c>
      <c r="D389" s="5771" t="s">
        <v>2613</v>
      </c>
      <c r="E389" s="5771" t="s">
        <v>2614</v>
      </c>
      <c r="F389" s="5771" t="s">
        <v>2598</v>
      </c>
      <c r="G389" s="5771" t="s">
        <v>28</v>
      </c>
      <c r="H389" s="5771" t="s">
        <v>28</v>
      </c>
      <c r="I389" s="5771" t="s">
        <v>1018</v>
      </c>
    </row>
    <row customHeight="1" ht="11.25">
      <c r="A390" s="5771" t="s">
        <v>2364</v>
      </c>
      <c r="B390" s="5771" t="s">
        <v>16</v>
      </c>
      <c r="C390" s="5771" t="s">
        <v>2618</v>
      </c>
      <c r="D390" s="5771" t="s">
        <v>2619</v>
      </c>
      <c r="E390" s="5771" t="s">
        <v>2620</v>
      </c>
      <c r="F390" s="5771" t="s">
        <v>2598</v>
      </c>
      <c r="G390" s="5771" t="s">
        <v>28</v>
      </c>
      <c r="H390" s="5771" t="s">
        <v>28</v>
      </c>
      <c r="I390" s="5771" t="s">
        <v>1018</v>
      </c>
    </row>
    <row customHeight="1" ht="11.25">
      <c r="A391" s="5771" t="s">
        <v>2364</v>
      </c>
      <c r="B391" s="5771" t="s">
        <v>16</v>
      </c>
      <c r="C391" s="5771" t="s">
        <v>2974</v>
      </c>
      <c r="D391" s="5771" t="s">
        <v>2975</v>
      </c>
      <c r="E391" s="5771" t="s">
        <v>2976</v>
      </c>
      <c r="F391" s="5771" t="s">
        <v>2598</v>
      </c>
      <c r="G391" s="5771" t="s">
        <v>28</v>
      </c>
      <c r="H391" s="5771" t="s">
        <v>28</v>
      </c>
      <c r="I391" s="5771" t="s">
        <v>1018</v>
      </c>
    </row>
    <row customHeight="1" ht="11.25">
      <c r="A392" s="5771" t="s">
        <v>2364</v>
      </c>
      <c r="B392" s="5771" t="s">
        <v>16</v>
      </c>
      <c r="C392" s="5771" t="s">
        <v>2977</v>
      </c>
      <c r="D392" s="5771" t="s">
        <v>2978</v>
      </c>
      <c r="E392" s="5771" t="s">
        <v>2979</v>
      </c>
      <c r="F392" s="5771" t="s">
        <v>2546</v>
      </c>
      <c r="G392" s="5771" t="s">
        <v>2980</v>
      </c>
      <c r="H392" s="5771" t="s">
        <v>28</v>
      </c>
      <c r="I392" s="5771" t="s">
        <v>1018</v>
      </c>
    </row>
    <row customHeight="1" ht="11.25">
      <c r="A393" s="5771" t="s">
        <v>2364</v>
      </c>
      <c r="B393" s="5771" t="s">
        <v>16</v>
      </c>
      <c r="C393" s="5771" t="s">
        <v>2981</v>
      </c>
      <c r="D393" s="5771" t="s">
        <v>2982</v>
      </c>
      <c r="E393" s="5771" t="s">
        <v>2983</v>
      </c>
      <c r="F393" s="5771" t="s">
        <v>2371</v>
      </c>
      <c r="G393" s="5771" t="s">
        <v>2984</v>
      </c>
      <c r="H393" s="5771" t="s">
        <v>28</v>
      </c>
      <c r="I393" s="5771" t="s">
        <v>1018</v>
      </c>
    </row>
    <row customHeight="1" ht="11.25">
      <c r="A394" s="5771" t="s">
        <v>2364</v>
      </c>
      <c r="B394" s="5771" t="s">
        <v>16</v>
      </c>
      <c r="C394" s="5771" t="s">
        <v>2985</v>
      </c>
      <c r="D394" s="5771" t="s">
        <v>2986</v>
      </c>
      <c r="E394" s="5771" t="s">
        <v>2987</v>
      </c>
      <c r="F394" s="5771" t="s">
        <v>2499</v>
      </c>
      <c r="G394" s="5771" t="s">
        <v>28</v>
      </c>
      <c r="H394" s="5771" t="s">
        <v>28</v>
      </c>
      <c r="I394" s="5771" t="s">
        <v>1018</v>
      </c>
    </row>
    <row customHeight="1" ht="11.25">
      <c r="A395" s="5771" t="s">
        <v>2364</v>
      </c>
      <c r="B395" s="5771" t="s">
        <v>16</v>
      </c>
      <c r="C395" s="5771" t="s">
        <v>2988</v>
      </c>
      <c r="D395" s="5771" t="s">
        <v>2989</v>
      </c>
      <c r="E395" s="5771" t="s">
        <v>2990</v>
      </c>
      <c r="F395" s="5771" t="s">
        <v>2789</v>
      </c>
      <c r="G395" s="5771" t="s">
        <v>2991</v>
      </c>
      <c r="H395" s="5771" t="s">
        <v>28</v>
      </c>
      <c r="I395" s="5771" t="s">
        <v>1018</v>
      </c>
    </row>
    <row customHeight="1" ht="11.25">
      <c r="A396" s="5771" t="s">
        <v>2364</v>
      </c>
      <c r="B396" s="5771" t="s">
        <v>16</v>
      </c>
      <c r="C396" s="5771" t="s">
        <v>2992</v>
      </c>
      <c r="D396" s="5771" t="s">
        <v>2993</v>
      </c>
      <c r="E396" s="5771" t="s">
        <v>2994</v>
      </c>
      <c r="F396" s="5771" t="s">
        <v>2425</v>
      </c>
      <c r="G396" s="5771" t="s">
        <v>2995</v>
      </c>
      <c r="H396" s="5771" t="s">
        <v>28</v>
      </c>
      <c r="I396" s="5771" t="s">
        <v>1018</v>
      </c>
    </row>
    <row customHeight="1" ht="11.25">
      <c r="A397" s="5771" t="s">
        <v>2364</v>
      </c>
      <c r="B397" s="5771" t="s">
        <v>16</v>
      </c>
      <c r="C397" s="5771" t="s">
        <v>3133</v>
      </c>
      <c r="D397" s="5771" t="s">
        <v>3134</v>
      </c>
      <c r="E397" s="5771" t="s">
        <v>3135</v>
      </c>
      <c r="F397" s="5771" t="s">
        <v>2367</v>
      </c>
      <c r="G397" s="5771" t="s">
        <v>28</v>
      </c>
      <c r="H397" s="5771" t="s">
        <v>28</v>
      </c>
      <c r="I397" s="5771" t="s">
        <v>1018</v>
      </c>
    </row>
    <row customHeight="1" ht="11.25">
      <c r="A398" s="5771" t="s">
        <v>2364</v>
      </c>
      <c r="B398" s="5771" t="s">
        <v>16</v>
      </c>
      <c r="C398" s="5771" t="s">
        <v>2630</v>
      </c>
      <c r="D398" s="5771" t="s">
        <v>2631</v>
      </c>
      <c r="E398" s="5771" t="s">
        <v>2632</v>
      </c>
      <c r="F398" s="5771" t="s">
        <v>2598</v>
      </c>
      <c r="G398" s="5771" t="s">
        <v>28</v>
      </c>
      <c r="H398" s="5771" t="s">
        <v>28</v>
      </c>
      <c r="I398" s="5771" t="s">
        <v>1018</v>
      </c>
    </row>
    <row customHeight="1" ht="11.25">
      <c r="A399" s="5771" t="s">
        <v>2364</v>
      </c>
      <c r="B399" s="5771" t="s">
        <v>16</v>
      </c>
      <c r="C399" s="5771" t="s">
        <v>3000</v>
      </c>
      <c r="D399" s="5771" t="s">
        <v>3001</v>
      </c>
      <c r="E399" s="5771" t="s">
        <v>3002</v>
      </c>
      <c r="F399" s="5771" t="s">
        <v>2546</v>
      </c>
      <c r="G399" s="5771" t="s">
        <v>28</v>
      </c>
      <c r="H399" s="5771" t="s">
        <v>28</v>
      </c>
      <c r="I399" s="5771" t="s">
        <v>1018</v>
      </c>
    </row>
    <row customHeight="1" ht="11.25">
      <c r="A400" s="5771" t="s">
        <v>2364</v>
      </c>
      <c r="B400" s="5771" t="s">
        <v>16</v>
      </c>
      <c r="C400" s="5771" t="s">
        <v>2643</v>
      </c>
      <c r="D400" s="5771" t="s">
        <v>2644</v>
      </c>
      <c r="E400" s="5771" t="s">
        <v>2645</v>
      </c>
      <c r="F400" s="5771" t="s">
        <v>2404</v>
      </c>
      <c r="G400" s="5771" t="s">
        <v>28</v>
      </c>
      <c r="H400" s="5771" t="s">
        <v>28</v>
      </c>
      <c r="I400" s="5771" t="s">
        <v>1018</v>
      </c>
    </row>
    <row customHeight="1" ht="11.25">
      <c r="A401" s="5771" t="s">
        <v>2364</v>
      </c>
      <c r="B401" s="5771" t="s">
        <v>16</v>
      </c>
      <c r="C401" s="5771" t="s">
        <v>2661</v>
      </c>
      <c r="D401" s="5771" t="s">
        <v>2662</v>
      </c>
      <c r="E401" s="5771" t="s">
        <v>2663</v>
      </c>
      <c r="F401" s="5771" t="s">
        <v>2567</v>
      </c>
      <c r="G401" s="5771" t="s">
        <v>2664</v>
      </c>
      <c r="H401" s="5771" t="s">
        <v>28</v>
      </c>
      <c r="I401" s="5771" t="s">
        <v>1018</v>
      </c>
    </row>
    <row customHeight="1" ht="11.25">
      <c r="A402" s="5771" t="s">
        <v>2364</v>
      </c>
      <c r="B402" s="5771" t="s">
        <v>16</v>
      </c>
      <c r="C402" s="5771" t="s">
        <v>3003</v>
      </c>
      <c r="D402" s="5771" t="s">
        <v>3004</v>
      </c>
      <c r="E402" s="5771" t="s">
        <v>3005</v>
      </c>
      <c r="F402" s="5771" t="s">
        <v>2553</v>
      </c>
      <c r="G402" s="5771" t="s">
        <v>28</v>
      </c>
      <c r="H402" s="5771" t="s">
        <v>28</v>
      </c>
      <c r="I402" s="5771" t="s">
        <v>1018</v>
      </c>
    </row>
    <row customHeight="1" ht="11.25">
      <c r="A403" s="5771" t="s">
        <v>2364</v>
      </c>
      <c r="B403" s="5771" t="s">
        <v>16</v>
      </c>
      <c r="C403" s="5771" t="s">
        <v>3006</v>
      </c>
      <c r="D403" s="5771" t="s">
        <v>3007</v>
      </c>
      <c r="E403" s="5771" t="s">
        <v>3008</v>
      </c>
      <c r="F403" s="5771" t="s">
        <v>2499</v>
      </c>
      <c r="G403" s="5771" t="s">
        <v>28</v>
      </c>
      <c r="H403" s="5771" t="s">
        <v>28</v>
      </c>
      <c r="I403" s="5771" t="s">
        <v>1018</v>
      </c>
    </row>
    <row customHeight="1" ht="11.25">
      <c r="A404" s="5771" t="s">
        <v>2364</v>
      </c>
      <c r="B404" s="5771" t="s">
        <v>16</v>
      </c>
      <c r="C404" s="5771" t="s">
        <v>3009</v>
      </c>
      <c r="D404" s="5771" t="s">
        <v>3010</v>
      </c>
      <c r="E404" s="5771" t="s">
        <v>3011</v>
      </c>
      <c r="F404" s="5771" t="s">
        <v>3012</v>
      </c>
      <c r="G404" s="5771" t="s">
        <v>28</v>
      </c>
      <c r="H404" s="5771" t="s">
        <v>28</v>
      </c>
      <c r="I404" s="5771" t="s">
        <v>1018</v>
      </c>
    </row>
    <row customHeight="1" ht="11.25">
      <c r="A405" s="5771" t="s">
        <v>2364</v>
      </c>
      <c r="B405" s="5771" t="s">
        <v>16</v>
      </c>
      <c r="C405" s="5771" t="s">
        <v>3013</v>
      </c>
      <c r="D405" s="5771" t="s">
        <v>3014</v>
      </c>
      <c r="E405" s="5771" t="s">
        <v>3015</v>
      </c>
      <c r="F405" s="5771" t="s">
        <v>2567</v>
      </c>
      <c r="G405" s="5771" t="s">
        <v>28</v>
      </c>
      <c r="H405" s="5771" t="s">
        <v>28</v>
      </c>
      <c r="I405" s="5771" t="s">
        <v>1018</v>
      </c>
    </row>
    <row customHeight="1" ht="11.25">
      <c r="A406" s="5771" t="s">
        <v>2364</v>
      </c>
      <c r="B406" s="5771" t="s">
        <v>16</v>
      </c>
      <c r="C406" s="5771" t="s">
        <v>3016</v>
      </c>
      <c r="D406" s="5771" t="s">
        <v>3017</v>
      </c>
      <c r="E406" s="5771" t="s">
        <v>3018</v>
      </c>
      <c r="F406" s="5771" t="s">
        <v>2396</v>
      </c>
      <c r="G406" s="5771" t="s">
        <v>28</v>
      </c>
      <c r="H406" s="5771" t="s">
        <v>28</v>
      </c>
      <c r="I406" s="5771" t="s">
        <v>1018</v>
      </c>
    </row>
    <row customHeight="1" ht="11.25">
      <c r="A407" s="5771" t="s">
        <v>2364</v>
      </c>
      <c r="B407" s="5771" t="s">
        <v>16</v>
      </c>
      <c r="C407" s="5771" t="s">
        <v>2680</v>
      </c>
      <c r="D407" s="5771" t="s">
        <v>2681</v>
      </c>
      <c r="E407" s="5771" t="s">
        <v>2682</v>
      </c>
      <c r="F407" s="5771" t="s">
        <v>2546</v>
      </c>
      <c r="G407" s="5771" t="s">
        <v>2426</v>
      </c>
      <c r="H407" s="5771" t="s">
        <v>28</v>
      </c>
      <c r="I407" s="5771" t="s">
        <v>1018</v>
      </c>
    </row>
    <row customHeight="1" ht="11.25">
      <c r="A408" s="5771" t="s">
        <v>2364</v>
      </c>
      <c r="B408" s="5771" t="s">
        <v>16</v>
      </c>
      <c r="C408" s="5771" t="s">
        <v>3136</v>
      </c>
      <c r="D408" s="5771" t="s">
        <v>3137</v>
      </c>
      <c r="E408" s="5771" t="s">
        <v>3138</v>
      </c>
      <c r="F408" s="5771" t="s">
        <v>2686</v>
      </c>
      <c r="G408" s="5771" t="s">
        <v>3139</v>
      </c>
      <c r="H408" s="5771" t="s">
        <v>28</v>
      </c>
      <c r="I408" s="5771" t="s">
        <v>1018</v>
      </c>
    </row>
    <row customHeight="1" ht="11.25">
      <c r="A409" s="5771" t="s">
        <v>2364</v>
      </c>
      <c r="B409" s="5771" t="s">
        <v>16</v>
      </c>
      <c r="C409" s="5771" t="s">
        <v>3019</v>
      </c>
      <c r="D409" s="5771" t="s">
        <v>3020</v>
      </c>
      <c r="E409" s="5771" t="s">
        <v>3021</v>
      </c>
      <c r="F409" s="5771" t="s">
        <v>2546</v>
      </c>
      <c r="G409" s="5771" t="s">
        <v>28</v>
      </c>
      <c r="H409" s="5771" t="s">
        <v>28</v>
      </c>
      <c r="I409" s="5771" t="s">
        <v>1018</v>
      </c>
    </row>
    <row customHeight="1" ht="11.25">
      <c r="A410" s="5771" t="s">
        <v>2364</v>
      </c>
      <c r="B410" s="5771" t="s">
        <v>16</v>
      </c>
      <c r="C410" s="5771" t="s">
        <v>2704</v>
      </c>
      <c r="D410" s="5771" t="s">
        <v>2705</v>
      </c>
      <c r="E410" s="5771" t="s">
        <v>2706</v>
      </c>
      <c r="F410" s="5771" t="s">
        <v>2707</v>
      </c>
      <c r="G410" s="5771" t="s">
        <v>28</v>
      </c>
      <c r="H410" s="5771" t="s">
        <v>28</v>
      </c>
      <c r="I410" s="5771" t="s">
        <v>1018</v>
      </c>
    </row>
    <row customHeight="1" ht="11.25">
      <c r="A411" s="5771" t="s">
        <v>2364</v>
      </c>
      <c r="B411" s="5771" t="s">
        <v>16</v>
      </c>
      <c r="C411" s="5771" t="s">
        <v>3025</v>
      </c>
      <c r="D411" s="5771" t="s">
        <v>3026</v>
      </c>
      <c r="E411" s="5771" t="s">
        <v>3027</v>
      </c>
      <c r="F411" s="5771" t="s">
        <v>2396</v>
      </c>
      <c r="G411" s="5771" t="s">
        <v>28</v>
      </c>
      <c r="H411" s="5771" t="s">
        <v>28</v>
      </c>
      <c r="I411" s="5771" t="s">
        <v>1018</v>
      </c>
    </row>
    <row customHeight="1" ht="11.25">
      <c r="A412" s="5771" t="s">
        <v>2364</v>
      </c>
      <c r="B412" s="5771" t="s">
        <v>16</v>
      </c>
      <c r="C412" s="5771" t="s">
        <v>3028</v>
      </c>
      <c r="D412" s="5771" t="s">
        <v>3029</v>
      </c>
      <c r="E412" s="5771" t="s">
        <v>3030</v>
      </c>
      <c r="F412" s="5771" t="s">
        <v>2598</v>
      </c>
      <c r="G412" s="5771" t="s">
        <v>28</v>
      </c>
      <c r="H412" s="5771" t="s">
        <v>28</v>
      </c>
      <c r="I412" s="5771" t="s">
        <v>1018</v>
      </c>
    </row>
    <row customHeight="1" ht="11.25">
      <c r="A413" s="5771" t="s">
        <v>2364</v>
      </c>
      <c r="B413" s="5771" t="s">
        <v>16</v>
      </c>
      <c r="C413" s="5771" t="s">
        <v>3037</v>
      </c>
      <c r="D413" s="5771" t="s">
        <v>3038</v>
      </c>
      <c r="E413" s="5771" t="s">
        <v>3039</v>
      </c>
      <c r="F413" s="5771" t="s">
        <v>2470</v>
      </c>
      <c r="G413" s="5771" t="s">
        <v>28</v>
      </c>
      <c r="H413" s="5771" t="s">
        <v>28</v>
      </c>
      <c r="I413" s="5771" t="s">
        <v>1018</v>
      </c>
    </row>
    <row customHeight="1" ht="11.25">
      <c r="A414" s="5771" t="s">
        <v>2364</v>
      </c>
      <c r="B414" s="5771" t="s">
        <v>16</v>
      </c>
      <c r="C414" s="5771" t="s">
        <v>3040</v>
      </c>
      <c r="D414" s="5771" t="s">
        <v>3041</v>
      </c>
      <c r="E414" s="5771" t="s">
        <v>3042</v>
      </c>
      <c r="F414" s="5771" t="s">
        <v>2367</v>
      </c>
      <c r="G414" s="5771" t="s">
        <v>28</v>
      </c>
      <c r="H414" s="5771" t="s">
        <v>28</v>
      </c>
      <c r="I414" s="5771" t="s">
        <v>1018</v>
      </c>
    </row>
    <row customHeight="1" ht="11.25">
      <c r="A415" s="5771" t="s">
        <v>2364</v>
      </c>
      <c r="B415" s="5771" t="s">
        <v>16</v>
      </c>
      <c r="C415" s="5771" t="s">
        <v>3046</v>
      </c>
      <c r="D415" s="5771" t="s">
        <v>3047</v>
      </c>
      <c r="E415" s="5771" t="s">
        <v>3048</v>
      </c>
      <c r="F415" s="5771" t="s">
        <v>2416</v>
      </c>
      <c r="G415" s="5771" t="s">
        <v>3049</v>
      </c>
      <c r="H415" s="5771" t="s">
        <v>28</v>
      </c>
      <c r="I415" s="5771" t="s">
        <v>1018</v>
      </c>
    </row>
    <row customHeight="1" ht="11.25">
      <c r="A416" s="5771" t="s">
        <v>2364</v>
      </c>
      <c r="B416" s="5771" t="s">
        <v>16</v>
      </c>
      <c r="C416" s="5771" t="s">
        <v>3050</v>
      </c>
      <c r="D416" s="5771" t="s">
        <v>3051</v>
      </c>
      <c r="E416" s="5771" t="s">
        <v>2366</v>
      </c>
      <c r="F416" s="5771" t="s">
        <v>2367</v>
      </c>
      <c r="G416" s="5771" t="s">
        <v>28</v>
      </c>
      <c r="H416" s="5771" t="s">
        <v>28</v>
      </c>
      <c r="I416" s="5771" t="s">
        <v>1018</v>
      </c>
    </row>
    <row customHeight="1" ht="11.25">
      <c r="A417" s="5771" t="s">
        <v>2364</v>
      </c>
      <c r="B417" s="5771" t="s">
        <v>16</v>
      </c>
      <c r="C417" s="5771" t="s">
        <v>3052</v>
      </c>
      <c r="D417" s="5771" t="s">
        <v>3053</v>
      </c>
      <c r="E417" s="5771" t="s">
        <v>3054</v>
      </c>
      <c r="F417" s="5771" t="s">
        <v>2371</v>
      </c>
      <c r="G417" s="5771" t="s">
        <v>28</v>
      </c>
      <c r="H417" s="5771" t="s">
        <v>28</v>
      </c>
      <c r="I417" s="5771" t="s">
        <v>1018</v>
      </c>
    </row>
    <row customHeight="1" ht="11.25">
      <c r="A418" s="5771" t="s">
        <v>2364</v>
      </c>
      <c r="B418" s="5771" t="s">
        <v>16</v>
      </c>
      <c r="C418" s="5771" t="s">
        <v>3055</v>
      </c>
      <c r="D418" s="5771" t="s">
        <v>3056</v>
      </c>
      <c r="E418" s="5771" t="s">
        <v>3057</v>
      </c>
      <c r="F418" s="5771" t="s">
        <v>2371</v>
      </c>
      <c r="G418" s="5771" t="s">
        <v>28</v>
      </c>
      <c r="H418" s="5771" t="s">
        <v>28</v>
      </c>
      <c r="I418" s="5771" t="s">
        <v>1018</v>
      </c>
    </row>
    <row customHeight="1" ht="11.25">
      <c r="A419" s="5771" t="s">
        <v>2364</v>
      </c>
      <c r="B419" s="5771" t="s">
        <v>16</v>
      </c>
      <c r="C419" s="5771" t="s">
        <v>2711</v>
      </c>
      <c r="D419" s="5771" t="s">
        <v>2712</v>
      </c>
      <c r="E419" s="5771" t="s">
        <v>2713</v>
      </c>
      <c r="F419" s="5771" t="s">
        <v>2379</v>
      </c>
      <c r="G419" s="5771" t="s">
        <v>28</v>
      </c>
      <c r="H419" s="5771" t="s">
        <v>28</v>
      </c>
      <c r="I419" s="5771" t="s">
        <v>1018</v>
      </c>
    </row>
    <row customHeight="1" ht="11.25">
      <c r="A420" s="5771" t="s">
        <v>2364</v>
      </c>
      <c r="B420" s="5771" t="s">
        <v>16</v>
      </c>
      <c r="C420" s="5771" t="s">
        <v>2722</v>
      </c>
      <c r="D420" s="5771" t="s">
        <v>2723</v>
      </c>
      <c r="E420" s="5771" t="s">
        <v>2724</v>
      </c>
      <c r="F420" s="5771" t="s">
        <v>2693</v>
      </c>
      <c r="G420" s="5771" t="s">
        <v>2725</v>
      </c>
      <c r="H420" s="5771" t="s">
        <v>28</v>
      </c>
      <c r="I420" s="5771" t="s">
        <v>1018</v>
      </c>
    </row>
    <row customHeight="1" ht="11.25">
      <c r="A421" s="5771" t="s">
        <v>2364</v>
      </c>
      <c r="B421" s="5771" t="s">
        <v>16</v>
      </c>
      <c r="C421" s="5771" t="s">
        <v>2726</v>
      </c>
      <c r="D421" s="5771" t="s">
        <v>2727</v>
      </c>
      <c r="E421" s="5771" t="s">
        <v>2728</v>
      </c>
      <c r="F421" s="5771" t="s">
        <v>2416</v>
      </c>
      <c r="G421" s="5771" t="s">
        <v>2729</v>
      </c>
      <c r="H421" s="5771" t="s">
        <v>28</v>
      </c>
      <c r="I421" s="5771" t="s">
        <v>1018</v>
      </c>
    </row>
    <row customHeight="1" ht="11.25">
      <c r="A422" s="5771" t="s">
        <v>2364</v>
      </c>
      <c r="B422" s="5771" t="s">
        <v>16</v>
      </c>
      <c r="C422" s="5771" t="s">
        <v>3064</v>
      </c>
      <c r="D422" s="5771" t="s">
        <v>3065</v>
      </c>
      <c r="E422" s="5771" t="s">
        <v>3066</v>
      </c>
      <c r="F422" s="5771" t="s">
        <v>3067</v>
      </c>
      <c r="G422" s="5771" t="s">
        <v>28</v>
      </c>
      <c r="H422" s="5771" t="s">
        <v>28</v>
      </c>
      <c r="I422" s="5771" t="s">
        <v>1018</v>
      </c>
    </row>
    <row customHeight="1" ht="11.25">
      <c r="A423" s="5771" t="s">
        <v>2364</v>
      </c>
      <c r="B423" s="5771" t="s">
        <v>16</v>
      </c>
      <c r="C423" s="5771" t="s">
        <v>3068</v>
      </c>
      <c r="D423" s="5771" t="s">
        <v>3069</v>
      </c>
      <c r="E423" s="5771" t="s">
        <v>3070</v>
      </c>
      <c r="F423" s="5771" t="s">
        <v>2499</v>
      </c>
      <c r="G423" s="5771" t="s">
        <v>28</v>
      </c>
      <c r="H423" s="5771" t="s">
        <v>28</v>
      </c>
      <c r="I423" s="5771" t="s">
        <v>1018</v>
      </c>
    </row>
    <row customHeight="1" ht="11.25">
      <c r="A424" s="5771" t="s">
        <v>2364</v>
      </c>
      <c r="B424" s="5771" t="s">
        <v>16</v>
      </c>
      <c r="C424" s="5771" t="s">
        <v>2740</v>
      </c>
      <c r="D424" s="5771" t="s">
        <v>2741</v>
      </c>
      <c r="E424" s="5771" t="s">
        <v>2742</v>
      </c>
      <c r="F424" s="5771" t="s">
        <v>2567</v>
      </c>
      <c r="G424" s="5771" t="s">
        <v>28</v>
      </c>
      <c r="H424" s="5771" t="s">
        <v>28</v>
      </c>
      <c r="I424" s="5771" t="s">
        <v>1018</v>
      </c>
    </row>
    <row customHeight="1" ht="11.25">
      <c r="A425" s="5771" t="s">
        <v>2364</v>
      </c>
      <c r="B425" s="5771" t="s">
        <v>16</v>
      </c>
      <c r="C425" s="5771" t="s">
        <v>2743</v>
      </c>
      <c r="D425" s="5771" t="s">
        <v>2744</v>
      </c>
      <c r="E425" s="5771" t="s">
        <v>2745</v>
      </c>
      <c r="F425" s="5771" t="s">
        <v>2746</v>
      </c>
      <c r="G425" s="5771" t="s">
        <v>2747</v>
      </c>
      <c r="H425" s="5771" t="s">
        <v>28</v>
      </c>
      <c r="I425" s="5771" t="s">
        <v>1018</v>
      </c>
    </row>
    <row customHeight="1" ht="11.25">
      <c r="A426" s="5771" t="s">
        <v>2364</v>
      </c>
      <c r="B426" s="5771" t="s">
        <v>16</v>
      </c>
      <c r="C426" s="5771" t="s">
        <v>2748</v>
      </c>
      <c r="D426" s="5771" t="s">
        <v>2749</v>
      </c>
      <c r="E426" s="5771" t="s">
        <v>2750</v>
      </c>
      <c r="F426" s="5771" t="s">
        <v>2567</v>
      </c>
      <c r="G426" s="5771" t="s">
        <v>28</v>
      </c>
      <c r="H426" s="5771" t="s">
        <v>28</v>
      </c>
      <c r="I426" s="5771" t="s">
        <v>1018</v>
      </c>
    </row>
    <row customHeight="1" ht="11.25">
      <c r="A427" s="5771" t="s">
        <v>2364</v>
      </c>
      <c r="B427" s="5771" t="s">
        <v>16</v>
      </c>
      <c r="C427" s="5771" t="s">
        <v>2754</v>
      </c>
      <c r="D427" s="5771" t="s">
        <v>2755</v>
      </c>
      <c r="E427" s="5771" t="s">
        <v>2756</v>
      </c>
      <c r="F427" s="5771" t="s">
        <v>2499</v>
      </c>
      <c r="G427" s="5771" t="s">
        <v>28</v>
      </c>
      <c r="H427" s="5771" t="s">
        <v>28</v>
      </c>
      <c r="I427" s="5771" t="s">
        <v>1018</v>
      </c>
    </row>
    <row customHeight="1" ht="11.25">
      <c r="A428" s="5771" t="s">
        <v>2364</v>
      </c>
      <c r="B428" s="5771" t="s">
        <v>16</v>
      </c>
      <c r="C428" s="5771" t="s">
        <v>3071</v>
      </c>
      <c r="D428" s="5771" t="s">
        <v>3072</v>
      </c>
      <c r="E428" s="5771" t="s">
        <v>3073</v>
      </c>
      <c r="F428" s="5771" t="s">
        <v>2884</v>
      </c>
      <c r="G428" s="5771" t="s">
        <v>28</v>
      </c>
      <c r="H428" s="5771" t="s">
        <v>28</v>
      </c>
      <c r="I428" s="5771" t="s">
        <v>1018</v>
      </c>
    </row>
    <row customHeight="1" ht="11.25">
      <c r="A429" s="5771" t="s">
        <v>2364</v>
      </c>
      <c r="B429" s="5771" t="s">
        <v>16</v>
      </c>
      <c r="C429" s="5771" t="s">
        <v>3074</v>
      </c>
      <c r="D429" s="5771" t="s">
        <v>3075</v>
      </c>
      <c r="E429" s="5771" t="s">
        <v>3076</v>
      </c>
      <c r="F429" s="5771" t="s">
        <v>2884</v>
      </c>
      <c r="G429" s="5771" t="s">
        <v>28</v>
      </c>
      <c r="H429" s="5771" t="s">
        <v>28</v>
      </c>
      <c r="I429" s="5771" t="s">
        <v>1018</v>
      </c>
    </row>
    <row customHeight="1" ht="11.25">
      <c r="A430" s="5771" t="s">
        <v>2364</v>
      </c>
      <c r="B430" s="5771" t="s">
        <v>16</v>
      </c>
      <c r="C430" s="5771" t="s">
        <v>3077</v>
      </c>
      <c r="D430" s="5771" t="s">
        <v>3078</v>
      </c>
      <c r="E430" s="5771" t="s">
        <v>3079</v>
      </c>
      <c r="F430" s="5771" t="s">
        <v>2396</v>
      </c>
      <c r="G430" s="5771" t="s">
        <v>28</v>
      </c>
      <c r="H430" s="5771" t="s">
        <v>28</v>
      </c>
      <c r="I430" s="5771" t="s">
        <v>1018</v>
      </c>
    </row>
    <row customHeight="1" ht="11.25">
      <c r="A431" s="5771" t="s">
        <v>2364</v>
      </c>
      <c r="B431" s="5771" t="s">
        <v>16</v>
      </c>
      <c r="C431" s="5771" t="s">
        <v>2757</v>
      </c>
      <c r="D431" s="5771" t="s">
        <v>2758</v>
      </c>
      <c r="E431" s="5771" t="s">
        <v>2759</v>
      </c>
      <c r="F431" s="5771" t="s">
        <v>2375</v>
      </c>
      <c r="G431" s="5771" t="s">
        <v>28</v>
      </c>
      <c r="H431" s="5771" t="s">
        <v>28</v>
      </c>
      <c r="I431" s="5771" t="s">
        <v>1018</v>
      </c>
    </row>
    <row customHeight="1" ht="11.25">
      <c r="A432" s="5771" t="s">
        <v>2364</v>
      </c>
      <c r="B432" s="5771" t="s">
        <v>16</v>
      </c>
      <c r="C432" s="5771" t="s">
        <v>2760</v>
      </c>
      <c r="D432" s="5771" t="s">
        <v>2761</v>
      </c>
      <c r="E432" s="5771" t="s">
        <v>2762</v>
      </c>
      <c r="F432" s="5771" t="s">
        <v>2763</v>
      </c>
      <c r="G432" s="5771" t="s">
        <v>28</v>
      </c>
      <c r="H432" s="5771" t="s">
        <v>28</v>
      </c>
      <c r="I432" s="5771" t="s">
        <v>1018</v>
      </c>
    </row>
    <row customHeight="1" ht="11.25">
      <c r="A433" s="5771" t="s">
        <v>2364</v>
      </c>
      <c r="B433" s="5771" t="s">
        <v>16</v>
      </c>
      <c r="C433" s="5771" t="s">
        <v>3089</v>
      </c>
      <c r="D433" s="5771" t="s">
        <v>3090</v>
      </c>
      <c r="E433" s="5771" t="s">
        <v>3091</v>
      </c>
      <c r="F433" s="5771" t="s">
        <v>2943</v>
      </c>
      <c r="G433" s="5771" t="s">
        <v>3092</v>
      </c>
      <c r="H433" s="5771" t="s">
        <v>28</v>
      </c>
      <c r="I433" s="5771" t="s">
        <v>1018</v>
      </c>
    </row>
    <row customHeight="1" ht="11.25">
      <c r="A434" s="5771" t="s">
        <v>2364</v>
      </c>
      <c r="B434" s="5771" t="s">
        <v>16</v>
      </c>
      <c r="C434" s="5771" t="s">
        <v>3093</v>
      </c>
      <c r="D434" s="5771" t="s">
        <v>3094</v>
      </c>
      <c r="E434" s="5771" t="s">
        <v>3095</v>
      </c>
      <c r="F434" s="5771" t="s">
        <v>2470</v>
      </c>
      <c r="G434" s="5771" t="s">
        <v>28</v>
      </c>
      <c r="H434" s="5771" t="s">
        <v>28</v>
      </c>
      <c r="I434" s="5771" t="s">
        <v>1018</v>
      </c>
    </row>
    <row customHeight="1" ht="11.25">
      <c r="A435" s="5771" t="s">
        <v>2364</v>
      </c>
      <c r="B435" s="5771" t="s">
        <v>16</v>
      </c>
      <c r="C435" s="5771" t="s">
        <v>3096</v>
      </c>
      <c r="D435" s="5771" t="s">
        <v>3097</v>
      </c>
      <c r="E435" s="5771" t="s">
        <v>3098</v>
      </c>
      <c r="F435" s="5771" t="s">
        <v>2491</v>
      </c>
      <c r="G435" s="5771" t="s">
        <v>28</v>
      </c>
      <c r="H435" s="5771" t="s">
        <v>28</v>
      </c>
      <c r="I435" s="5771" t="s">
        <v>1018</v>
      </c>
    </row>
    <row customHeight="1" ht="11.25">
      <c r="A436" s="5771" t="s">
        <v>2364</v>
      </c>
      <c r="B436" s="5771" t="s">
        <v>16</v>
      </c>
      <c r="C436" s="5771" t="s">
        <v>3105</v>
      </c>
      <c r="D436" s="5771" t="s">
        <v>3106</v>
      </c>
      <c r="E436" s="5771" t="s">
        <v>3107</v>
      </c>
      <c r="F436" s="5771" t="s">
        <v>2884</v>
      </c>
      <c r="G436" s="5771" t="s">
        <v>3108</v>
      </c>
      <c r="H436" s="5771" t="s">
        <v>28</v>
      </c>
      <c r="I436" s="5771" t="s">
        <v>1018</v>
      </c>
    </row>
    <row customHeight="1" ht="11.25">
      <c r="A437" s="5771" t="s">
        <v>2364</v>
      </c>
      <c r="B437" s="5771" t="s">
        <v>16</v>
      </c>
      <c r="C437" s="5771" t="s">
        <v>3109</v>
      </c>
      <c r="D437" s="5771" t="s">
        <v>3110</v>
      </c>
      <c r="E437" s="5771" t="s">
        <v>3111</v>
      </c>
      <c r="F437" s="5771" t="s">
        <v>2425</v>
      </c>
      <c r="G437" s="5771" t="s">
        <v>28</v>
      </c>
      <c r="H437" s="5771" t="s">
        <v>28</v>
      </c>
      <c r="I437" s="5771" t="s">
        <v>1018</v>
      </c>
    </row>
    <row customHeight="1" ht="11.25">
      <c r="A438" s="5771" t="s">
        <v>2364</v>
      </c>
      <c r="B438" s="5771" t="s">
        <v>16</v>
      </c>
      <c r="C438" s="5771" t="s">
        <v>2790</v>
      </c>
      <c r="D438" s="5771" t="s">
        <v>2791</v>
      </c>
      <c r="E438" s="5771" t="s">
        <v>2792</v>
      </c>
      <c r="F438" s="5771" t="s">
        <v>2396</v>
      </c>
      <c r="G438" s="5771" t="s">
        <v>28</v>
      </c>
      <c r="H438" s="5771" t="s">
        <v>28</v>
      </c>
      <c r="I438" s="5771" t="s">
        <v>1018</v>
      </c>
    </row>
    <row customHeight="1" ht="11.25">
      <c r="A439" s="5771" t="s">
        <v>2364</v>
      </c>
      <c r="B439" s="5771" t="s">
        <v>16</v>
      </c>
      <c r="C439" s="5771" t="s">
        <v>28</v>
      </c>
      <c r="D439" s="5771" t="s">
        <v>2365</v>
      </c>
      <c r="E439" s="5771" t="s">
        <v>2366</v>
      </c>
      <c r="F439" s="5771" t="s">
        <v>2367</v>
      </c>
      <c r="G439" s="5771" t="s">
        <v>28</v>
      </c>
      <c r="H439" s="5771" t="s">
        <v>28</v>
      </c>
      <c r="I439" s="5771" t="s">
        <v>1736</v>
      </c>
    </row>
    <row customHeight="1" ht="11.25">
      <c r="A440" s="5771" t="s">
        <v>2364</v>
      </c>
      <c r="B440" s="5771" t="s">
        <v>16</v>
      </c>
      <c r="C440" s="5771" t="s">
        <v>3140</v>
      </c>
      <c r="D440" s="5771" t="s">
        <v>3141</v>
      </c>
      <c r="E440" s="5771" t="s">
        <v>3142</v>
      </c>
      <c r="F440" s="5771" t="s">
        <v>687</v>
      </c>
      <c r="G440" s="5771" t="s">
        <v>3143</v>
      </c>
      <c r="H440" s="5771" t="s">
        <v>28</v>
      </c>
      <c r="I440" s="5771" t="s">
        <v>1736</v>
      </c>
    </row>
    <row customHeight="1" ht="11.25">
      <c r="A441" s="5771" t="s">
        <v>2364</v>
      </c>
      <c r="B441" s="5771" t="s">
        <v>16</v>
      </c>
      <c r="C441" s="5771" t="s">
        <v>2506</v>
      </c>
      <c r="D441" s="5771" t="s">
        <v>2507</v>
      </c>
      <c r="E441" s="5771" t="s">
        <v>2508</v>
      </c>
      <c r="F441" s="5771" t="s">
        <v>2509</v>
      </c>
      <c r="G441" s="5771" t="s">
        <v>28</v>
      </c>
      <c r="H441" s="5771" t="s">
        <v>28</v>
      </c>
      <c r="I441" s="5771" t="s">
        <v>1736</v>
      </c>
    </row>
    <row customHeight="1" ht="11.25">
      <c r="A442" s="5771" t="s">
        <v>2364</v>
      </c>
      <c r="B442" s="5771" t="s">
        <v>16</v>
      </c>
      <c r="C442" s="5771" t="s">
        <v>2858</v>
      </c>
      <c r="D442" s="5771" t="s">
        <v>2859</v>
      </c>
      <c r="E442" s="5771" t="s">
        <v>2860</v>
      </c>
      <c r="F442" s="5771" t="s">
        <v>2598</v>
      </c>
      <c r="G442" s="5771" t="s">
        <v>28</v>
      </c>
      <c r="H442" s="5771" t="s">
        <v>28</v>
      </c>
      <c r="I442" s="5771" t="s">
        <v>1736</v>
      </c>
    </row>
    <row customHeight="1" ht="11.25">
      <c r="A443" s="5771" t="s">
        <v>2364</v>
      </c>
      <c r="B443" s="5771" t="s">
        <v>16</v>
      </c>
      <c r="C443" s="5771" t="s">
        <v>3144</v>
      </c>
      <c r="D443" s="5771" t="s">
        <v>3145</v>
      </c>
      <c r="E443" s="5771" t="s">
        <v>3146</v>
      </c>
      <c r="F443" s="5771" t="s">
        <v>2611</v>
      </c>
      <c r="G443" s="5771" t="s">
        <v>3147</v>
      </c>
      <c r="H443" s="5771" t="s">
        <v>28</v>
      </c>
      <c r="I443" s="5771" t="s">
        <v>1736</v>
      </c>
    </row>
    <row customHeight="1" ht="11.25">
      <c r="A444" s="5771" t="s">
        <v>2364</v>
      </c>
      <c r="B444" s="5771" t="s">
        <v>16</v>
      </c>
      <c r="C444" s="5771" t="s">
        <v>2519</v>
      </c>
      <c r="D444" s="5771" t="s">
        <v>2520</v>
      </c>
      <c r="E444" s="5771" t="s">
        <v>2521</v>
      </c>
      <c r="F444" s="5771" t="s">
        <v>2396</v>
      </c>
      <c r="G444" s="5771" t="s">
        <v>28</v>
      </c>
      <c r="H444" s="5771" t="s">
        <v>28</v>
      </c>
      <c r="I444" s="5771" t="s">
        <v>1736</v>
      </c>
    </row>
    <row customHeight="1" ht="11.25">
      <c r="A445" s="5771" t="s">
        <v>2364</v>
      </c>
      <c r="B445" s="5771" t="s">
        <v>16</v>
      </c>
      <c r="C445" s="5771" t="s">
        <v>3148</v>
      </c>
      <c r="D445" s="5771" t="s">
        <v>3149</v>
      </c>
      <c r="E445" s="5771" t="s">
        <v>3150</v>
      </c>
      <c r="F445" s="5771" t="s">
        <v>2491</v>
      </c>
      <c r="G445" s="5771" t="s">
        <v>28</v>
      </c>
      <c r="H445" s="5771" t="s">
        <v>28</v>
      </c>
      <c r="I445" s="5771" t="s">
        <v>1736</v>
      </c>
    </row>
    <row customHeight="1" ht="11.25">
      <c r="A446" s="5771" t="s">
        <v>2364</v>
      </c>
      <c r="B446" s="5771" t="s">
        <v>16</v>
      </c>
      <c r="C446" s="5771" t="s">
        <v>2526</v>
      </c>
      <c r="D446" s="5771" t="s">
        <v>2527</v>
      </c>
      <c r="E446" s="5771" t="s">
        <v>2528</v>
      </c>
      <c r="F446" s="5771" t="s">
        <v>2529</v>
      </c>
      <c r="G446" s="5771" t="s">
        <v>28</v>
      </c>
      <c r="H446" s="5771" t="s">
        <v>28</v>
      </c>
      <c r="I446" s="5771" t="s">
        <v>1736</v>
      </c>
    </row>
    <row customHeight="1" ht="11.25">
      <c r="A447" s="5771" t="s">
        <v>2364</v>
      </c>
      <c r="B447" s="5771" t="s">
        <v>16</v>
      </c>
      <c r="C447" s="5771" t="s">
        <v>2530</v>
      </c>
      <c r="D447" s="5771" t="s">
        <v>2531</v>
      </c>
      <c r="E447" s="5771" t="s">
        <v>2532</v>
      </c>
      <c r="F447" s="5771" t="s">
        <v>2529</v>
      </c>
      <c r="G447" s="5771" t="s">
        <v>28</v>
      </c>
      <c r="H447" s="5771" t="s">
        <v>28</v>
      </c>
      <c r="I447" s="5771" t="s">
        <v>1736</v>
      </c>
    </row>
    <row customHeight="1" ht="11.25">
      <c r="A448" s="5771" t="s">
        <v>2364</v>
      </c>
      <c r="B448" s="5771" t="s">
        <v>16</v>
      </c>
      <c r="C448" s="5771" t="s">
        <v>3151</v>
      </c>
      <c r="D448" s="5771" t="s">
        <v>3152</v>
      </c>
      <c r="E448" s="5771" t="s">
        <v>3153</v>
      </c>
      <c r="F448" s="5771" t="s">
        <v>2536</v>
      </c>
      <c r="G448" s="5771" t="s">
        <v>3154</v>
      </c>
      <c r="H448" s="5771" t="s">
        <v>28</v>
      </c>
      <c r="I448" s="5771" t="s">
        <v>1736</v>
      </c>
    </row>
    <row customHeight="1" ht="11.25">
      <c r="A449" s="5771" t="s">
        <v>2364</v>
      </c>
      <c r="B449" s="5771" t="s">
        <v>16</v>
      </c>
      <c r="C449" s="5771" t="s">
        <v>3155</v>
      </c>
      <c r="D449" s="5771" t="s">
        <v>3156</v>
      </c>
      <c r="E449" s="5771" t="s">
        <v>3157</v>
      </c>
      <c r="F449" s="5771" t="s">
        <v>2518</v>
      </c>
      <c r="G449" s="5771" t="s">
        <v>28</v>
      </c>
      <c r="H449" s="5771" t="s">
        <v>28</v>
      </c>
      <c r="I449" s="5771" t="s">
        <v>1736</v>
      </c>
    </row>
    <row customHeight="1" ht="11.25">
      <c r="A450" s="5771" t="s">
        <v>2364</v>
      </c>
      <c r="B450" s="5771" t="s">
        <v>16</v>
      </c>
      <c r="C450" s="5771" t="s">
        <v>3158</v>
      </c>
      <c r="D450" s="5771" t="s">
        <v>3159</v>
      </c>
      <c r="E450" s="5771" t="s">
        <v>3160</v>
      </c>
      <c r="F450" s="5771" t="s">
        <v>2404</v>
      </c>
      <c r="G450" s="5771" t="s">
        <v>28</v>
      </c>
      <c r="H450" s="5771" t="s">
        <v>28</v>
      </c>
      <c r="I450" s="5771" t="s">
        <v>1736</v>
      </c>
    </row>
    <row customHeight="1" ht="11.25">
      <c r="A451" s="5771" t="s">
        <v>2364</v>
      </c>
      <c r="B451" s="5771" t="s">
        <v>16</v>
      </c>
      <c r="C451" s="5771" t="s">
        <v>3161</v>
      </c>
      <c r="D451" s="5771" t="s">
        <v>3162</v>
      </c>
      <c r="E451" s="5771" t="s">
        <v>3163</v>
      </c>
      <c r="F451" s="5771" t="s">
        <v>2367</v>
      </c>
      <c r="G451" s="5771" t="s">
        <v>3164</v>
      </c>
      <c r="H451" s="5771" t="s">
        <v>28</v>
      </c>
      <c r="I451" s="5771" t="s">
        <v>1736</v>
      </c>
    </row>
    <row customHeight="1" ht="11.25">
      <c r="A452" s="5771" t="s">
        <v>2364</v>
      </c>
      <c r="B452" s="5771" t="s">
        <v>16</v>
      </c>
      <c r="C452" s="5771" t="s">
        <v>3165</v>
      </c>
      <c r="D452" s="5771" t="s">
        <v>3166</v>
      </c>
      <c r="E452" s="5771" t="s">
        <v>3167</v>
      </c>
      <c r="F452" s="5771" t="s">
        <v>2560</v>
      </c>
      <c r="G452" s="5771" t="s">
        <v>3168</v>
      </c>
      <c r="H452" s="5771" t="s">
        <v>28</v>
      </c>
      <c r="I452" s="5771" t="s">
        <v>1736</v>
      </c>
    </row>
    <row customHeight="1" ht="11.25">
      <c r="A453" s="5771" t="s">
        <v>2364</v>
      </c>
      <c r="B453" s="5771" t="s">
        <v>16</v>
      </c>
      <c r="C453" s="5771" t="s">
        <v>3169</v>
      </c>
      <c r="D453" s="5771" t="s">
        <v>3170</v>
      </c>
      <c r="E453" s="5771" t="s">
        <v>3171</v>
      </c>
      <c r="F453" s="5771" t="s">
        <v>2611</v>
      </c>
      <c r="G453" s="5771" t="s">
        <v>3172</v>
      </c>
      <c r="H453" s="5771" t="s">
        <v>28</v>
      </c>
      <c r="I453" s="5771" t="s">
        <v>1736</v>
      </c>
    </row>
    <row customHeight="1" ht="11.25">
      <c r="A454" s="5771" t="s">
        <v>2364</v>
      </c>
      <c r="B454" s="5771" t="s">
        <v>16</v>
      </c>
      <c r="C454" s="5771" t="s">
        <v>3173</v>
      </c>
      <c r="D454" s="5771" t="s">
        <v>3174</v>
      </c>
      <c r="E454" s="5771" t="s">
        <v>3175</v>
      </c>
      <c r="F454" s="5771" t="s">
        <v>2639</v>
      </c>
      <c r="G454" s="5771" t="s">
        <v>3176</v>
      </c>
      <c r="H454" s="5771" t="s">
        <v>28</v>
      </c>
      <c r="I454" s="5771" t="s">
        <v>1736</v>
      </c>
    </row>
    <row customHeight="1" ht="11.25">
      <c r="A455" s="5771" t="s">
        <v>2364</v>
      </c>
      <c r="B455" s="5771" t="s">
        <v>16</v>
      </c>
      <c r="C455" s="5771" t="s">
        <v>3177</v>
      </c>
      <c r="D455" s="5771" t="s">
        <v>3178</v>
      </c>
      <c r="E455" s="5771" t="s">
        <v>3179</v>
      </c>
      <c r="F455" s="5771" t="s">
        <v>2707</v>
      </c>
      <c r="G455" s="5771" t="s">
        <v>3180</v>
      </c>
      <c r="H455" s="5771" t="s">
        <v>28</v>
      </c>
      <c r="I455" s="5771" t="s">
        <v>1736</v>
      </c>
    </row>
    <row customHeight="1" ht="11.25">
      <c r="A456" s="5771" t="s">
        <v>2364</v>
      </c>
      <c r="B456" s="5771" t="s">
        <v>16</v>
      </c>
      <c r="C456" s="5771" t="s">
        <v>3181</v>
      </c>
      <c r="D456" s="5771" t="s">
        <v>3182</v>
      </c>
      <c r="E456" s="5771" t="s">
        <v>3183</v>
      </c>
      <c r="F456" s="5771" t="s">
        <v>2873</v>
      </c>
      <c r="G456" s="5771" t="s">
        <v>3184</v>
      </c>
      <c r="H456" s="5771" t="s">
        <v>28</v>
      </c>
      <c r="I456" s="5771" t="s">
        <v>1736</v>
      </c>
    </row>
    <row customHeight="1" ht="11.25">
      <c r="A457" s="5771" t="s">
        <v>2364</v>
      </c>
      <c r="B457" s="5771" t="s">
        <v>16</v>
      </c>
      <c r="C457" s="5771" t="s">
        <v>2974</v>
      </c>
      <c r="D457" s="5771" t="s">
        <v>2975</v>
      </c>
      <c r="E457" s="5771" t="s">
        <v>2976</v>
      </c>
      <c r="F457" s="5771" t="s">
        <v>2598</v>
      </c>
      <c r="G457" s="5771" t="s">
        <v>28</v>
      </c>
      <c r="H457" s="5771" t="s">
        <v>28</v>
      </c>
      <c r="I457" s="5771" t="s">
        <v>1736</v>
      </c>
    </row>
    <row customHeight="1" ht="11.25">
      <c r="A458" s="5771" t="s">
        <v>2364</v>
      </c>
      <c r="B458" s="5771" t="s">
        <v>16</v>
      </c>
      <c r="C458" s="5771" t="s">
        <v>3185</v>
      </c>
      <c r="D458" s="5771" t="s">
        <v>3186</v>
      </c>
      <c r="E458" s="5771" t="s">
        <v>3187</v>
      </c>
      <c r="F458" s="5771" t="s">
        <v>2789</v>
      </c>
      <c r="G458" s="5771" t="s">
        <v>3188</v>
      </c>
      <c r="H458" s="5771" t="s">
        <v>28</v>
      </c>
      <c r="I458" s="5771" t="s">
        <v>1736</v>
      </c>
    </row>
    <row customHeight="1" ht="11.25">
      <c r="A459" s="5771" t="s">
        <v>2364</v>
      </c>
      <c r="B459" s="5771" t="s">
        <v>16</v>
      </c>
      <c r="C459" s="5771" t="s">
        <v>3189</v>
      </c>
      <c r="D459" s="5771" t="s">
        <v>3190</v>
      </c>
      <c r="E459" s="5771" t="s">
        <v>3191</v>
      </c>
      <c r="F459" s="5771" t="s">
        <v>2425</v>
      </c>
      <c r="G459" s="5771" t="s">
        <v>28</v>
      </c>
      <c r="H459" s="5771" t="s">
        <v>28</v>
      </c>
      <c r="I459" s="5771" t="s">
        <v>1736</v>
      </c>
    </row>
    <row customHeight="1" ht="11.25">
      <c r="A460" s="5771" t="s">
        <v>2364</v>
      </c>
      <c r="B460" s="5771" t="s">
        <v>16</v>
      </c>
      <c r="C460" s="5771" t="s">
        <v>3192</v>
      </c>
      <c r="D460" s="5771" t="s">
        <v>3193</v>
      </c>
      <c r="E460" s="5771" t="s">
        <v>3194</v>
      </c>
      <c r="F460" s="5771" t="s">
        <v>2371</v>
      </c>
      <c r="G460" s="5771" t="s">
        <v>3195</v>
      </c>
      <c r="H460" s="5771" t="s">
        <v>28</v>
      </c>
      <c r="I460" s="5771" t="s">
        <v>1736</v>
      </c>
    </row>
    <row customHeight="1" ht="11.25">
      <c r="A461" s="5771" t="s">
        <v>2364</v>
      </c>
      <c r="B461" s="5771" t="s">
        <v>16</v>
      </c>
      <c r="C461" s="5771" t="s">
        <v>3196</v>
      </c>
      <c r="D461" s="5771" t="s">
        <v>3197</v>
      </c>
      <c r="E461" s="5771" t="s">
        <v>3198</v>
      </c>
      <c r="F461" s="5771" t="s">
        <v>2686</v>
      </c>
      <c r="G461" s="5771" t="s">
        <v>28</v>
      </c>
      <c r="H461" s="5771" t="s">
        <v>28</v>
      </c>
      <c r="I461" s="5771" t="s">
        <v>1736</v>
      </c>
    </row>
    <row customHeight="1" ht="11.25">
      <c r="A462" s="5771" t="s">
        <v>2364</v>
      </c>
      <c r="B462" s="5771" t="s">
        <v>16</v>
      </c>
      <c r="C462" s="5771" t="s">
        <v>3199</v>
      </c>
      <c r="D462" s="5771" t="s">
        <v>3200</v>
      </c>
      <c r="E462" s="5771" t="s">
        <v>3201</v>
      </c>
      <c r="F462" s="5771" t="s">
        <v>2518</v>
      </c>
      <c r="G462" s="5771" t="s">
        <v>3202</v>
      </c>
      <c r="H462" s="5771" t="s">
        <v>28</v>
      </c>
      <c r="I462" s="5771" t="s">
        <v>1736</v>
      </c>
    </row>
    <row customHeight="1" ht="11.25">
      <c r="A463" s="5771" t="s">
        <v>2364</v>
      </c>
      <c r="B463" s="5771" t="s">
        <v>16</v>
      </c>
      <c r="C463" s="5771" t="s">
        <v>3203</v>
      </c>
      <c r="D463" s="5771" t="s">
        <v>3204</v>
      </c>
      <c r="E463" s="5771" t="s">
        <v>3205</v>
      </c>
      <c r="F463" s="5771" t="s">
        <v>2628</v>
      </c>
      <c r="G463" s="5771" t="s">
        <v>28</v>
      </c>
      <c r="H463" s="5771" t="s">
        <v>28</v>
      </c>
      <c r="I463" s="5771" t="s">
        <v>1736</v>
      </c>
    </row>
    <row customHeight="1" ht="11.25">
      <c r="A464" s="5771" t="s">
        <v>2364</v>
      </c>
      <c r="B464" s="5771" t="s">
        <v>16</v>
      </c>
      <c r="C464" s="5771" t="s">
        <v>3206</v>
      </c>
      <c r="D464" s="5771" t="s">
        <v>3207</v>
      </c>
      <c r="E464" s="5771" t="s">
        <v>3208</v>
      </c>
      <c r="F464" s="5771" t="s">
        <v>2371</v>
      </c>
      <c r="G464" s="5771" t="s">
        <v>3209</v>
      </c>
      <c r="H464" s="5771" t="s">
        <v>28</v>
      </c>
      <c r="I464" s="5771" t="s">
        <v>1736</v>
      </c>
    </row>
    <row customHeight="1" ht="11.25">
      <c r="A465" s="5771" t="s">
        <v>2364</v>
      </c>
      <c r="B465" s="5771" t="s">
        <v>16</v>
      </c>
      <c r="C465" s="5771" t="s">
        <v>3210</v>
      </c>
      <c r="D465" s="5771" t="s">
        <v>3211</v>
      </c>
      <c r="E465" s="5771" t="s">
        <v>3212</v>
      </c>
      <c r="F465" s="5771" t="s">
        <v>2367</v>
      </c>
      <c r="G465" s="5771" t="s">
        <v>3213</v>
      </c>
      <c r="H465" s="5771" t="s">
        <v>28</v>
      </c>
      <c r="I465" s="5771" t="s">
        <v>1736</v>
      </c>
    </row>
    <row customHeight="1" ht="11.25">
      <c r="A466" s="5771" t="s">
        <v>2364</v>
      </c>
      <c r="B466" s="5771" t="s">
        <v>16</v>
      </c>
      <c r="C466" s="5771" t="s">
        <v>3214</v>
      </c>
      <c r="D466" s="5771" t="s">
        <v>3215</v>
      </c>
      <c r="E466" s="5771" t="s">
        <v>3216</v>
      </c>
      <c r="F466" s="5771" t="s">
        <v>2470</v>
      </c>
      <c r="G466" s="5771" t="s">
        <v>28</v>
      </c>
      <c r="H466" s="5771" t="s">
        <v>28</v>
      </c>
      <c r="I466" s="5771" t="s">
        <v>1736</v>
      </c>
    </row>
    <row customHeight="1" ht="11.25">
      <c r="A467" s="5771" t="s">
        <v>2364</v>
      </c>
      <c r="B467" s="5771" t="s">
        <v>16</v>
      </c>
      <c r="C467" s="5771" t="s">
        <v>3217</v>
      </c>
      <c r="D467" s="5771" t="s">
        <v>3218</v>
      </c>
      <c r="E467" s="5771" t="s">
        <v>3219</v>
      </c>
      <c r="F467" s="5771" t="s">
        <v>2396</v>
      </c>
      <c r="G467" s="5771" t="s">
        <v>3220</v>
      </c>
      <c r="H467" s="5771" t="s">
        <v>28</v>
      </c>
      <c r="I467" s="5771" t="s">
        <v>1736</v>
      </c>
    </row>
    <row customHeight="1" ht="11.25">
      <c r="A468" s="5771" t="s">
        <v>2364</v>
      </c>
      <c r="B468" s="5771" t="s">
        <v>16</v>
      </c>
      <c r="C468" s="5771" t="s">
        <v>3019</v>
      </c>
      <c r="D468" s="5771" t="s">
        <v>3020</v>
      </c>
      <c r="E468" s="5771" t="s">
        <v>3021</v>
      </c>
      <c r="F468" s="5771" t="s">
        <v>2546</v>
      </c>
      <c r="G468" s="5771" t="s">
        <v>28</v>
      </c>
      <c r="H468" s="5771" t="s">
        <v>28</v>
      </c>
      <c r="I468" s="5771" t="s">
        <v>1736</v>
      </c>
    </row>
    <row customHeight="1" ht="11.25">
      <c r="A469" s="5771" t="s">
        <v>2364</v>
      </c>
      <c r="B469" s="5771" t="s">
        <v>16</v>
      </c>
      <c r="C469" s="5771" t="s">
        <v>3221</v>
      </c>
      <c r="D469" s="5771" t="s">
        <v>3222</v>
      </c>
      <c r="E469" s="5771" t="s">
        <v>3223</v>
      </c>
      <c r="F469" s="5771" t="s">
        <v>2367</v>
      </c>
      <c r="G469" s="5771" t="s">
        <v>3224</v>
      </c>
      <c r="H469" s="5771" t="s">
        <v>28</v>
      </c>
      <c r="I469" s="5771" t="s">
        <v>1736</v>
      </c>
    </row>
    <row customHeight="1" ht="11.25">
      <c r="A470" s="5771" t="s">
        <v>2364</v>
      </c>
      <c r="B470" s="5771" t="s">
        <v>16</v>
      </c>
      <c r="C470" s="5771" t="s">
        <v>3225</v>
      </c>
      <c r="D470" s="5771" t="s">
        <v>3226</v>
      </c>
      <c r="E470" s="5771" t="s">
        <v>3227</v>
      </c>
      <c r="F470" s="5771" t="s">
        <v>2567</v>
      </c>
      <c r="G470" s="5771" t="s">
        <v>3228</v>
      </c>
      <c r="H470" s="5771" t="s">
        <v>28</v>
      </c>
      <c r="I470" s="5771" t="s">
        <v>1736</v>
      </c>
    </row>
    <row customHeight="1" ht="11.25">
      <c r="A471" s="5771" t="s">
        <v>2364</v>
      </c>
      <c r="B471" s="5771" t="s">
        <v>16</v>
      </c>
      <c r="C471" s="5771" t="s">
        <v>3229</v>
      </c>
      <c r="D471" s="5771" t="s">
        <v>3230</v>
      </c>
      <c r="E471" s="5771" t="s">
        <v>3231</v>
      </c>
      <c r="F471" s="5771" t="s">
        <v>2611</v>
      </c>
      <c r="G471" s="5771" t="s">
        <v>3232</v>
      </c>
      <c r="H471" s="5771" t="s">
        <v>28</v>
      </c>
      <c r="I471" s="5771" t="s">
        <v>1736</v>
      </c>
    </row>
    <row customHeight="1" ht="11.25">
      <c r="A472" s="5771" t="s">
        <v>2364</v>
      </c>
      <c r="B472" s="5771" t="s">
        <v>16</v>
      </c>
      <c r="C472" s="5771" t="s">
        <v>3233</v>
      </c>
      <c r="D472" s="5771" t="s">
        <v>3234</v>
      </c>
      <c r="E472" s="5771" t="s">
        <v>3235</v>
      </c>
      <c r="F472" s="5771" t="s">
        <v>2639</v>
      </c>
      <c r="G472" s="5771" t="s">
        <v>3236</v>
      </c>
      <c r="H472" s="5771" t="s">
        <v>28</v>
      </c>
      <c r="I472" s="5771" t="s">
        <v>1736</v>
      </c>
    </row>
    <row customHeight="1" ht="11.25">
      <c r="A473" s="5771" t="s">
        <v>2364</v>
      </c>
      <c r="B473" s="5771" t="s">
        <v>16</v>
      </c>
      <c r="C473" s="5771" t="s">
        <v>3237</v>
      </c>
      <c r="D473" s="5771" t="s">
        <v>3238</v>
      </c>
      <c r="E473" s="5771" t="s">
        <v>3239</v>
      </c>
      <c r="F473" s="5771" t="s">
        <v>2499</v>
      </c>
      <c r="G473" s="5771" t="s">
        <v>3240</v>
      </c>
      <c r="H473" s="5771" t="s">
        <v>28</v>
      </c>
      <c r="I473" s="5771" t="s">
        <v>1736</v>
      </c>
    </row>
    <row customHeight="1" ht="11.25">
      <c r="A474" s="5771" t="s">
        <v>2364</v>
      </c>
      <c r="B474" s="5771" t="s">
        <v>16</v>
      </c>
      <c r="C474" s="5771" t="s">
        <v>3241</v>
      </c>
      <c r="D474" s="5771" t="s">
        <v>3242</v>
      </c>
      <c r="E474" s="5771" t="s">
        <v>3243</v>
      </c>
      <c r="F474" s="5771" t="s">
        <v>2560</v>
      </c>
      <c r="G474" s="5771" t="s">
        <v>3244</v>
      </c>
      <c r="H474" s="5771" t="s">
        <v>28</v>
      </c>
      <c r="I474" s="5771" t="s">
        <v>1736</v>
      </c>
    </row>
    <row customHeight="1" ht="11.25">
      <c r="A475" s="5771" t="s">
        <v>2364</v>
      </c>
      <c r="B475" s="5771" t="s">
        <v>16</v>
      </c>
      <c r="C475" s="5771" t="s">
        <v>3245</v>
      </c>
      <c r="D475" s="5771" t="s">
        <v>3246</v>
      </c>
      <c r="E475" s="5771" t="s">
        <v>3247</v>
      </c>
      <c r="F475" s="5771" t="s">
        <v>2416</v>
      </c>
      <c r="G475" s="5771" t="s">
        <v>3248</v>
      </c>
      <c r="H475" s="5771" t="s">
        <v>28</v>
      </c>
      <c r="I475" s="5771" t="s">
        <v>1736</v>
      </c>
    </row>
    <row customHeight="1" ht="11.25">
      <c r="A476" s="5771" t="s">
        <v>2364</v>
      </c>
      <c r="B476" s="5771" t="s">
        <v>16</v>
      </c>
      <c r="C476" s="5771" t="s">
        <v>3249</v>
      </c>
      <c r="D476" s="5771" t="s">
        <v>3250</v>
      </c>
      <c r="E476" s="5771" t="s">
        <v>3251</v>
      </c>
      <c r="F476" s="5771" t="s">
        <v>2639</v>
      </c>
      <c r="G476" s="5771" t="s">
        <v>28</v>
      </c>
      <c r="H476" s="5771" t="s">
        <v>28</v>
      </c>
      <c r="I476" s="5771" t="s">
        <v>1736</v>
      </c>
    </row>
    <row customHeight="1" ht="11.25">
      <c r="A477" s="5771" t="s">
        <v>2364</v>
      </c>
      <c r="B477" s="5771" t="s">
        <v>16</v>
      </c>
      <c r="C477" s="5771" t="s">
        <v>3252</v>
      </c>
      <c r="D477" s="5771" t="s">
        <v>3253</v>
      </c>
      <c r="E477" s="5771" t="s">
        <v>3254</v>
      </c>
      <c r="F477" s="5771" t="s">
        <v>2560</v>
      </c>
      <c r="G477" s="5771" t="s">
        <v>3255</v>
      </c>
      <c r="H477" s="5771" t="s">
        <v>28</v>
      </c>
      <c r="I477" s="5771" t="s">
        <v>1736</v>
      </c>
    </row>
    <row customHeight="1" ht="11.25">
      <c r="A478" s="5771" t="s">
        <v>2364</v>
      </c>
      <c r="B478" s="5771" t="s">
        <v>16</v>
      </c>
      <c r="C478" s="5771" t="s">
        <v>3256</v>
      </c>
      <c r="D478" s="5771" t="s">
        <v>3257</v>
      </c>
      <c r="E478" s="5771" t="s">
        <v>3258</v>
      </c>
      <c r="F478" s="5771" t="s">
        <v>2404</v>
      </c>
      <c r="G478" s="5771" t="s">
        <v>3259</v>
      </c>
      <c r="H478" s="5771" t="s">
        <v>28</v>
      </c>
      <c r="I478" s="5771" t="s">
        <v>1736</v>
      </c>
    </row>
    <row customHeight="1" ht="11.25">
      <c r="A479" s="5771" t="s">
        <v>2364</v>
      </c>
      <c r="B479" s="5771" t="s">
        <v>16</v>
      </c>
      <c r="C479" s="5771" t="s">
        <v>3260</v>
      </c>
      <c r="D479" s="5771" t="s">
        <v>3261</v>
      </c>
      <c r="E479" s="5771" t="s">
        <v>3262</v>
      </c>
      <c r="F479" s="5771" t="s">
        <v>2371</v>
      </c>
      <c r="G479" s="5771" t="s">
        <v>3263</v>
      </c>
      <c r="H479" s="5771" t="s">
        <v>28</v>
      </c>
      <c r="I479" s="5771" t="s">
        <v>1736</v>
      </c>
    </row>
    <row customHeight="1" ht="11.25">
      <c r="A480" s="5771" t="s">
        <v>2364</v>
      </c>
      <c r="B480" s="5771" t="s">
        <v>16</v>
      </c>
      <c r="C480" s="5771" t="s">
        <v>3264</v>
      </c>
      <c r="D480" s="5771" t="s">
        <v>3265</v>
      </c>
      <c r="E480" s="5771" t="s">
        <v>3266</v>
      </c>
      <c r="F480" s="5771" t="s">
        <v>2371</v>
      </c>
      <c r="G480" s="5771" t="s">
        <v>3267</v>
      </c>
      <c r="H480" s="5771" t="s">
        <v>28</v>
      </c>
      <c r="I480" s="5771" t="s">
        <v>1736</v>
      </c>
    </row>
    <row customHeight="1" ht="11.25">
      <c r="A481" s="5771" t="s">
        <v>2364</v>
      </c>
      <c r="B481" s="5771" t="s">
        <v>16</v>
      </c>
      <c r="C481" s="5771" t="s">
        <v>3268</v>
      </c>
      <c r="D481" s="5771" t="s">
        <v>3269</v>
      </c>
      <c r="E481" s="5771" t="s">
        <v>3270</v>
      </c>
      <c r="F481" s="5771" t="s">
        <v>2491</v>
      </c>
      <c r="G481" s="5771" t="s">
        <v>3271</v>
      </c>
      <c r="H481" s="5771" t="s">
        <v>28</v>
      </c>
      <c r="I481" s="5771" t="s">
        <v>1736</v>
      </c>
    </row>
    <row customHeight="1" ht="11.25">
      <c r="A482" s="5771" t="s">
        <v>2364</v>
      </c>
      <c r="B482" s="5771" t="s">
        <v>16</v>
      </c>
      <c r="C482" s="5771" t="s">
        <v>3272</v>
      </c>
      <c r="D482" s="5771" t="s">
        <v>3273</v>
      </c>
      <c r="E482" s="5771" t="s">
        <v>3274</v>
      </c>
      <c r="F482" s="5771" t="s">
        <v>3067</v>
      </c>
      <c r="G482" s="5771" t="s">
        <v>3275</v>
      </c>
      <c r="H482" s="5771" t="s">
        <v>28</v>
      </c>
      <c r="I482" s="5771" t="s">
        <v>1736</v>
      </c>
    </row>
    <row customHeight="1" ht="11.25">
      <c r="A483" s="5771" t="s">
        <v>2364</v>
      </c>
      <c r="B483" s="5771" t="s">
        <v>16</v>
      </c>
      <c r="C483" s="5771" t="s">
        <v>3276</v>
      </c>
      <c r="D483" s="5771" t="s">
        <v>3277</v>
      </c>
      <c r="E483" s="5771" t="s">
        <v>3278</v>
      </c>
      <c r="F483" s="5771" t="s">
        <v>2425</v>
      </c>
      <c r="G483" s="5771" t="s">
        <v>28</v>
      </c>
      <c r="H483" s="5771" t="s">
        <v>28</v>
      </c>
      <c r="I483" s="5771" t="s">
        <v>1736</v>
      </c>
    </row>
    <row customHeight="1" ht="11.25">
      <c r="A484" s="5771" t="s">
        <v>2364</v>
      </c>
      <c r="B484" s="5771" t="s">
        <v>16</v>
      </c>
      <c r="C484" s="5771" t="s">
        <v>3279</v>
      </c>
      <c r="D484" s="5771" t="s">
        <v>3280</v>
      </c>
      <c r="E484" s="5771" t="s">
        <v>3281</v>
      </c>
      <c r="F484" s="5771" t="s">
        <v>2536</v>
      </c>
      <c r="G484" s="5771" t="s">
        <v>28</v>
      </c>
      <c r="H484" s="5771" t="s">
        <v>28</v>
      </c>
      <c r="I484" s="5771" t="s">
        <v>1736</v>
      </c>
    </row>
    <row customHeight="1" ht="11.25">
      <c r="A485" s="5771" t="s">
        <v>2364</v>
      </c>
      <c r="B485" s="5771" t="s">
        <v>16</v>
      </c>
      <c r="C485" s="5771" t="s">
        <v>3282</v>
      </c>
      <c r="D485" s="5771" t="s">
        <v>3283</v>
      </c>
      <c r="E485" s="5771" t="s">
        <v>3284</v>
      </c>
      <c r="F485" s="5771" t="s">
        <v>2371</v>
      </c>
      <c r="G485" s="5771" t="s">
        <v>28</v>
      </c>
      <c r="H485" s="5771" t="s">
        <v>28</v>
      </c>
      <c r="I485" s="5771" t="s">
        <v>1736</v>
      </c>
    </row>
    <row customHeight="1" ht="11.25">
      <c r="A486" s="5771" t="s">
        <v>2364</v>
      </c>
      <c r="B486" s="5771" t="s">
        <v>16</v>
      </c>
      <c r="C486" s="5771" t="s">
        <v>3285</v>
      </c>
      <c r="D486" s="5771" t="s">
        <v>3286</v>
      </c>
      <c r="E486" s="5771" t="s">
        <v>3287</v>
      </c>
      <c r="F486" s="5771" t="s">
        <v>2763</v>
      </c>
      <c r="G486" s="5771" t="s">
        <v>28</v>
      </c>
      <c r="H486" s="5771" t="s">
        <v>28</v>
      </c>
      <c r="I486" s="5771" t="s">
        <v>1736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58F5C-5E11-3402-39AA-E85F56CEBC38}" mc:Ignorable="x14ac xr xr2 xr3">
  <sheetPr>
    <tabColor rgb="FFFFCC99"/>
  </sheetPr>
  <dimension ref="A1:G107"/>
  <sheetViews>
    <sheetView topLeftCell="A1" showGridLines="0" workbookViewId="0">
      <selection activeCell="A1" sqref="A1"/>
    </sheetView>
  </sheetViews>
  <sheetFormatPr customHeight="1" defaultRowHeight="11.25"/>
  <cols>
    <col min="1" max="1" style="21748" width="9.140625"/>
  </cols>
  <sheetData>
    <row customHeight="1" ht="11.25">
      <c r="A1" s="714" t="s">
        <v>3288</v>
      </c>
      <c r="B1" s="403" t="s">
        <v>3289</v>
      </c>
      <c r="C1" s="403" t="s">
        <v>3290</v>
      </c>
      <c r="D1" s="403" t="s">
        <v>3291</v>
      </c>
      <c r="E1" s="290" t="s">
        <v>3292</v>
      </c>
      <c r="F1" s="290" t="s">
        <v>3293</v>
      </c>
      <c r="G1" s="290" t="s">
        <v>3294</v>
      </c>
    </row>
    <row customHeight="1" ht="11.25">
      <c r="A2" s="714" t="s">
        <v>16</v>
      </c>
      <c r="B2" s="0" t="s">
        <v>146</v>
      </c>
      <c r="C2" s="0" t="s">
        <v>147</v>
      </c>
      <c r="D2" s="0" t="s">
        <v>146</v>
      </c>
      <c r="E2" s="0" t="s">
        <v>147</v>
      </c>
      <c r="F2" s="0" t="s">
        <v>3295</v>
      </c>
      <c r="G2" s="0" t="s">
        <v>145</v>
      </c>
    </row>
    <row customHeight="1" ht="11.25">
      <c r="A3" s="714" t="s">
        <v>16</v>
      </c>
      <c r="B3" s="0" t="s">
        <v>3296</v>
      </c>
      <c r="C3" s="0" t="s">
        <v>3297</v>
      </c>
      <c r="D3" s="0" t="s">
        <v>3296</v>
      </c>
      <c r="E3" s="0" t="s">
        <v>3297</v>
      </c>
      <c r="F3" s="0" t="s">
        <v>3298</v>
      </c>
      <c r="G3" s="0" t="s">
        <v>103</v>
      </c>
    </row>
    <row customHeight="1" ht="11.25">
      <c r="A4" s="714" t="s">
        <v>16</v>
      </c>
      <c r="B4" s="0" t="s">
        <v>3299</v>
      </c>
      <c r="C4" s="0" t="s">
        <v>3300</v>
      </c>
      <c r="D4" s="0" t="s">
        <v>3299</v>
      </c>
      <c r="E4" s="0" t="s">
        <v>3300</v>
      </c>
      <c r="F4" s="0" t="s">
        <v>3298</v>
      </c>
      <c r="G4" s="0" t="s">
        <v>90</v>
      </c>
    </row>
    <row customHeight="1" ht="11.25">
      <c r="A5" s="714" t="s">
        <v>16</v>
      </c>
      <c r="B5" s="0" t="s">
        <v>3301</v>
      </c>
      <c r="C5" s="0" t="s">
        <v>3302</v>
      </c>
      <c r="D5" s="0" t="s">
        <v>3301</v>
      </c>
      <c r="E5" s="0" t="s">
        <v>3302</v>
      </c>
      <c r="F5" s="0" t="s">
        <v>3298</v>
      </c>
      <c r="G5" s="0" t="s">
        <v>91</v>
      </c>
    </row>
    <row customHeight="1" ht="11.25">
      <c r="A6" s="714" t="s">
        <v>16</v>
      </c>
      <c r="B6" s="0" t="s">
        <v>136</v>
      </c>
      <c r="C6" s="0" t="s">
        <v>137</v>
      </c>
      <c r="D6" s="0" t="s">
        <v>136</v>
      </c>
      <c r="E6" s="0" t="s">
        <v>137</v>
      </c>
      <c r="F6" s="0" t="s">
        <v>3298</v>
      </c>
      <c r="G6" s="0" t="s">
        <v>116</v>
      </c>
    </row>
    <row customHeight="1" ht="11.25">
      <c r="A7" s="714" t="s">
        <v>16</v>
      </c>
      <c r="B7" s="0" t="s">
        <v>122</v>
      </c>
      <c r="C7" s="0" t="s">
        <v>123</v>
      </c>
      <c r="D7" s="0" t="s">
        <v>122</v>
      </c>
      <c r="E7" s="0" t="s">
        <v>123</v>
      </c>
      <c r="F7" s="0" t="s">
        <v>3298</v>
      </c>
      <c r="G7" s="0" t="s">
        <v>92</v>
      </c>
    </row>
    <row customHeight="1" ht="11.25">
      <c r="A8" s="714" t="s">
        <v>16</v>
      </c>
      <c r="B8" s="0" t="s">
        <v>110</v>
      </c>
      <c r="C8" s="0" t="s">
        <v>111</v>
      </c>
      <c r="D8" s="0" t="s">
        <v>110</v>
      </c>
      <c r="E8" s="0" t="s">
        <v>111</v>
      </c>
      <c r="F8" s="0" t="s">
        <v>3298</v>
      </c>
      <c r="G8" s="0" t="s">
        <v>93</v>
      </c>
    </row>
    <row customHeight="1" ht="11.25">
      <c r="A9" s="714" t="s">
        <v>16</v>
      </c>
      <c r="B9" s="0" t="s">
        <v>3303</v>
      </c>
      <c r="C9" s="0" t="s">
        <v>3304</v>
      </c>
      <c r="D9" s="0" t="s">
        <v>3305</v>
      </c>
      <c r="E9" s="0" t="s">
        <v>3306</v>
      </c>
      <c r="F9" s="0" t="s">
        <v>3307</v>
      </c>
      <c r="G9" s="0" t="s">
        <v>129</v>
      </c>
    </row>
    <row customHeight="1" ht="11.25">
      <c r="A10" s="714" t="s">
        <v>16</v>
      </c>
      <c r="B10" s="0" t="s">
        <v>3303</v>
      </c>
      <c r="C10" s="0" t="s">
        <v>3304</v>
      </c>
      <c r="D10" s="0" t="s">
        <v>3303</v>
      </c>
      <c r="E10" s="0" t="s">
        <v>3304</v>
      </c>
      <c r="F10" s="0" t="s">
        <v>3308</v>
      </c>
      <c r="G10" s="0" t="s">
        <v>134</v>
      </c>
    </row>
    <row customHeight="1" ht="11.25">
      <c r="A11" s="714" t="s">
        <v>16</v>
      </c>
      <c r="B11" s="0" t="s">
        <v>3303</v>
      </c>
      <c r="C11" s="0" t="s">
        <v>3304</v>
      </c>
      <c r="D11" s="0" t="s">
        <v>3309</v>
      </c>
      <c r="E11" s="0" t="s">
        <v>3310</v>
      </c>
      <c r="F11" s="0" t="s">
        <v>3307</v>
      </c>
      <c r="G11" s="0" t="s">
        <v>138</v>
      </c>
    </row>
    <row customHeight="1" ht="11.25">
      <c r="A12" s="714" t="s">
        <v>16</v>
      </c>
      <c r="B12" s="0" t="s">
        <v>3303</v>
      </c>
      <c r="C12" s="0" t="s">
        <v>3304</v>
      </c>
      <c r="D12" s="0" t="s">
        <v>3311</v>
      </c>
      <c r="E12" s="0" t="s">
        <v>3312</v>
      </c>
      <c r="F12" s="0" t="s">
        <v>3313</v>
      </c>
      <c r="G12" s="0" t="s">
        <v>143</v>
      </c>
    </row>
    <row customHeight="1" ht="11.25">
      <c r="A13" s="714" t="s">
        <v>16</v>
      </c>
      <c r="B13" s="0" t="s">
        <v>3303</v>
      </c>
      <c r="C13" s="0" t="s">
        <v>3304</v>
      </c>
      <c r="D13" s="0" t="s">
        <v>3314</v>
      </c>
      <c r="E13" s="0" t="s">
        <v>3315</v>
      </c>
      <c r="F13" s="0" t="s">
        <v>3307</v>
      </c>
      <c r="G13" s="0" t="s">
        <v>189</v>
      </c>
    </row>
    <row customHeight="1" ht="11.25">
      <c r="A14" s="714" t="s">
        <v>16</v>
      </c>
      <c r="B14" s="0" t="s">
        <v>3303</v>
      </c>
      <c r="C14" s="0" t="s">
        <v>3304</v>
      </c>
      <c r="D14" s="0" t="s">
        <v>3316</v>
      </c>
      <c r="E14" s="0" t="s">
        <v>3317</v>
      </c>
      <c r="F14" s="0" t="s">
        <v>3307</v>
      </c>
      <c r="G14" s="0" t="s">
        <v>190</v>
      </c>
    </row>
    <row customHeight="1" ht="11.25">
      <c r="A15" s="714" t="s">
        <v>16</v>
      </c>
      <c r="B15" s="0" t="s">
        <v>3303</v>
      </c>
      <c r="C15" s="0" t="s">
        <v>3304</v>
      </c>
      <c r="D15" s="0" t="s">
        <v>3318</v>
      </c>
      <c r="E15" s="0" t="s">
        <v>3319</v>
      </c>
      <c r="F15" s="0" t="s">
        <v>3307</v>
      </c>
      <c r="G15" s="0" t="s">
        <v>191</v>
      </c>
    </row>
    <row customHeight="1" ht="11.25">
      <c r="A16" s="714" t="s">
        <v>16</v>
      </c>
      <c r="B16" s="0" t="s">
        <v>3303</v>
      </c>
      <c r="C16" s="0" t="s">
        <v>3304</v>
      </c>
      <c r="D16" s="0" t="s">
        <v>3320</v>
      </c>
      <c r="E16" s="0" t="s">
        <v>3321</v>
      </c>
      <c r="F16" s="0" t="s">
        <v>3307</v>
      </c>
      <c r="G16" s="0" t="s">
        <v>1581</v>
      </c>
    </row>
    <row customHeight="1" ht="11.25">
      <c r="A17" s="714" t="s">
        <v>16</v>
      </c>
      <c r="B17" s="0" t="s">
        <v>119</v>
      </c>
      <c r="C17" s="0" t="s">
        <v>120</v>
      </c>
      <c r="D17" s="0" t="s">
        <v>119</v>
      </c>
      <c r="E17" s="0" t="s">
        <v>120</v>
      </c>
      <c r="F17" s="0" t="s">
        <v>3295</v>
      </c>
      <c r="G17" s="0" t="s">
        <v>118</v>
      </c>
    </row>
    <row customHeight="1" ht="11.25">
      <c r="A18" s="714" t="s">
        <v>16</v>
      </c>
      <c r="B18" s="0" t="s">
        <v>3322</v>
      </c>
      <c r="C18" s="0" t="s">
        <v>3323</v>
      </c>
      <c r="D18" s="0" t="s">
        <v>3324</v>
      </c>
      <c r="E18" s="0" t="s">
        <v>3325</v>
      </c>
      <c r="F18" s="0" t="s">
        <v>3307</v>
      </c>
      <c r="G18" s="0" t="s">
        <v>1598</v>
      </c>
    </row>
    <row customHeight="1" ht="11.25">
      <c r="A19" s="714" t="s">
        <v>16</v>
      </c>
      <c r="B19" s="0" t="s">
        <v>3322</v>
      </c>
      <c r="C19" s="0" t="s">
        <v>3323</v>
      </c>
      <c r="D19" s="0" t="s">
        <v>3326</v>
      </c>
      <c r="E19" s="0" t="s">
        <v>3327</v>
      </c>
      <c r="F19" s="0" t="s">
        <v>3328</v>
      </c>
      <c r="G19" s="0" t="s">
        <v>1612</v>
      </c>
    </row>
    <row customHeight="1" ht="11.25">
      <c r="A20" s="714" t="s">
        <v>16</v>
      </c>
      <c r="B20" s="0" t="s">
        <v>3322</v>
      </c>
      <c r="C20" s="0" t="s">
        <v>3323</v>
      </c>
      <c r="D20" s="0" t="s">
        <v>3322</v>
      </c>
      <c r="E20" s="0" t="s">
        <v>3323</v>
      </c>
      <c r="F20" s="0" t="s">
        <v>3308</v>
      </c>
      <c r="G20" s="0" t="s">
        <v>1624</v>
      </c>
    </row>
    <row customHeight="1" ht="11.25">
      <c r="A21" s="714" t="s">
        <v>16</v>
      </c>
      <c r="B21" s="0" t="s">
        <v>3322</v>
      </c>
      <c r="C21" s="0" t="s">
        <v>3323</v>
      </c>
      <c r="D21" s="0" t="s">
        <v>3329</v>
      </c>
      <c r="E21" s="0" t="s">
        <v>3330</v>
      </c>
      <c r="F21" s="0" t="s">
        <v>3328</v>
      </c>
      <c r="G21" s="0" t="s">
        <v>1633</v>
      </c>
    </row>
    <row customHeight="1" ht="11.25">
      <c r="A22" s="714" t="s">
        <v>16</v>
      </c>
      <c r="B22" s="0" t="s">
        <v>3322</v>
      </c>
      <c r="C22" s="0" t="s">
        <v>3323</v>
      </c>
      <c r="D22" s="0" t="s">
        <v>3331</v>
      </c>
      <c r="E22" s="0" t="s">
        <v>3332</v>
      </c>
      <c r="F22" s="0" t="s">
        <v>3307</v>
      </c>
      <c r="G22" s="0" t="s">
        <v>1649</v>
      </c>
    </row>
    <row customHeight="1" ht="11.25">
      <c r="A23" s="714" t="s">
        <v>16</v>
      </c>
      <c r="B23" s="0" t="s">
        <v>3322</v>
      </c>
      <c r="C23" s="0" t="s">
        <v>3323</v>
      </c>
      <c r="D23" s="0" t="s">
        <v>3333</v>
      </c>
      <c r="E23" s="0" t="s">
        <v>3334</v>
      </c>
      <c r="F23" s="0" t="s">
        <v>3313</v>
      </c>
      <c r="G23" s="0" t="s">
        <v>1656</v>
      </c>
    </row>
    <row customHeight="1" ht="11.25">
      <c r="A24" s="714" t="s">
        <v>16</v>
      </c>
      <c r="B24" s="0" t="s">
        <v>3322</v>
      </c>
      <c r="C24" s="0" t="s">
        <v>3323</v>
      </c>
      <c r="D24" s="0" t="s">
        <v>3335</v>
      </c>
      <c r="E24" s="0" t="s">
        <v>3336</v>
      </c>
      <c r="F24" s="0" t="s">
        <v>3307</v>
      </c>
      <c r="G24" s="0" t="s">
        <v>1664</v>
      </c>
    </row>
    <row customHeight="1" ht="11.25">
      <c r="A25" s="714" t="s">
        <v>16</v>
      </c>
      <c r="B25" s="0" t="s">
        <v>3322</v>
      </c>
      <c r="C25" s="0" t="s">
        <v>3323</v>
      </c>
      <c r="D25" s="0" t="s">
        <v>3337</v>
      </c>
      <c r="E25" s="0" t="s">
        <v>3338</v>
      </c>
      <c r="F25" s="0" t="s">
        <v>3307</v>
      </c>
      <c r="G25" s="0" t="s">
        <v>1671</v>
      </c>
    </row>
    <row customHeight="1" ht="11.25">
      <c r="A26" s="714" t="s">
        <v>16</v>
      </c>
      <c r="B26" s="0" t="s">
        <v>114</v>
      </c>
      <c r="C26" s="0" t="s">
        <v>115</v>
      </c>
      <c r="D26" s="0" t="s">
        <v>114</v>
      </c>
      <c r="E26" s="0" t="s">
        <v>115</v>
      </c>
      <c r="F26" s="0" t="s">
        <v>3295</v>
      </c>
      <c r="G26" s="0" t="s">
        <v>113</v>
      </c>
    </row>
    <row customHeight="1" ht="11.25">
      <c r="A27" s="714" t="s">
        <v>16</v>
      </c>
      <c r="B27" s="0" t="s">
        <v>3339</v>
      </c>
      <c r="C27" s="0" t="s">
        <v>3340</v>
      </c>
      <c r="D27" s="0" t="s">
        <v>3341</v>
      </c>
      <c r="E27" s="0" t="s">
        <v>3342</v>
      </c>
      <c r="F27" s="0" t="s">
        <v>3328</v>
      </c>
      <c r="G27" s="0" t="s">
        <v>1679</v>
      </c>
    </row>
    <row customHeight="1" ht="11.25">
      <c r="A28" s="714" t="s">
        <v>16</v>
      </c>
      <c r="B28" s="0" t="s">
        <v>3339</v>
      </c>
      <c r="C28" s="0" t="s">
        <v>3340</v>
      </c>
      <c r="D28" s="0" t="s">
        <v>3343</v>
      </c>
      <c r="E28" s="0" t="s">
        <v>3344</v>
      </c>
      <c r="F28" s="0" t="s">
        <v>3307</v>
      </c>
      <c r="G28" s="0" t="s">
        <v>1687</v>
      </c>
    </row>
    <row customHeight="1" ht="11.25">
      <c r="A29" s="714" t="s">
        <v>16</v>
      </c>
      <c r="B29" s="0" t="s">
        <v>3339</v>
      </c>
      <c r="C29" s="0" t="s">
        <v>3340</v>
      </c>
      <c r="D29" s="0" t="s">
        <v>3345</v>
      </c>
      <c r="E29" s="0" t="s">
        <v>3346</v>
      </c>
      <c r="F29" s="0" t="s">
        <v>3307</v>
      </c>
      <c r="G29" s="0" t="s">
        <v>1689</v>
      </c>
    </row>
    <row customHeight="1" ht="11.25">
      <c r="A30" s="714" t="s">
        <v>16</v>
      </c>
      <c r="B30" s="0" t="s">
        <v>3339</v>
      </c>
      <c r="C30" s="0" t="s">
        <v>3340</v>
      </c>
      <c r="D30" s="0" t="s">
        <v>3347</v>
      </c>
      <c r="E30" s="0" t="s">
        <v>3348</v>
      </c>
      <c r="F30" s="0" t="s">
        <v>3307</v>
      </c>
      <c r="G30" s="0" t="s">
        <v>1692</v>
      </c>
    </row>
    <row customHeight="1" ht="11.25">
      <c r="A31" s="714" t="s">
        <v>16</v>
      </c>
      <c r="B31" s="0" t="s">
        <v>3339</v>
      </c>
      <c r="C31" s="0" t="s">
        <v>3340</v>
      </c>
      <c r="D31" s="0" t="s">
        <v>3349</v>
      </c>
      <c r="E31" s="0" t="s">
        <v>3350</v>
      </c>
      <c r="F31" s="0" t="s">
        <v>3307</v>
      </c>
      <c r="G31" s="0" t="s">
        <v>1698</v>
      </c>
    </row>
    <row customHeight="1" ht="11.25">
      <c r="A32" s="714" t="s">
        <v>16</v>
      </c>
      <c r="B32" s="0" t="s">
        <v>3339</v>
      </c>
      <c r="C32" s="0" t="s">
        <v>3340</v>
      </c>
      <c r="D32" s="0" t="s">
        <v>3339</v>
      </c>
      <c r="E32" s="0" t="s">
        <v>3340</v>
      </c>
      <c r="F32" s="0" t="s">
        <v>3308</v>
      </c>
      <c r="G32" s="0" t="s">
        <v>1700</v>
      </c>
    </row>
    <row customHeight="1" ht="11.25">
      <c r="A33" s="714" t="s">
        <v>16</v>
      </c>
      <c r="B33" s="0" t="s">
        <v>3339</v>
      </c>
      <c r="C33" s="0" t="s">
        <v>3340</v>
      </c>
      <c r="D33" s="0" t="s">
        <v>3351</v>
      </c>
      <c r="E33" s="0" t="s">
        <v>3352</v>
      </c>
      <c r="F33" s="0" t="s">
        <v>3307</v>
      </c>
      <c r="G33" s="0" t="s">
        <v>1702</v>
      </c>
    </row>
    <row customHeight="1" ht="11.25">
      <c r="A34" s="714" t="s">
        <v>16</v>
      </c>
      <c r="B34" s="0" t="s">
        <v>3339</v>
      </c>
      <c r="C34" s="0" t="s">
        <v>3340</v>
      </c>
      <c r="D34" s="0" t="s">
        <v>3353</v>
      </c>
      <c r="E34" s="0" t="s">
        <v>3354</v>
      </c>
      <c r="F34" s="0" t="s">
        <v>3307</v>
      </c>
      <c r="G34" s="0" t="s">
        <v>1704</v>
      </c>
    </row>
    <row customHeight="1" ht="11.25">
      <c r="A35" s="714" t="s">
        <v>16</v>
      </c>
      <c r="B35" s="0" t="s">
        <v>3339</v>
      </c>
      <c r="C35" s="0" t="s">
        <v>3340</v>
      </c>
      <c r="D35" s="0" t="s">
        <v>3355</v>
      </c>
      <c r="E35" s="0" t="s">
        <v>3356</v>
      </c>
      <c r="F35" s="0" t="s">
        <v>3307</v>
      </c>
      <c r="G35" s="0" t="s">
        <v>1709</v>
      </c>
    </row>
    <row customHeight="1" ht="11.25">
      <c r="A36" s="714" t="s">
        <v>16</v>
      </c>
      <c r="B36" s="0" t="s">
        <v>3339</v>
      </c>
      <c r="C36" s="0" t="s">
        <v>3340</v>
      </c>
      <c r="D36" s="0" t="s">
        <v>3357</v>
      </c>
      <c r="E36" s="0" t="s">
        <v>3358</v>
      </c>
      <c r="F36" s="0" t="s">
        <v>3307</v>
      </c>
      <c r="G36" s="0" t="s">
        <v>1714</v>
      </c>
    </row>
    <row customHeight="1" ht="11.25">
      <c r="A37" s="714" t="s">
        <v>16</v>
      </c>
      <c r="B37" s="0" t="s">
        <v>3339</v>
      </c>
      <c r="C37" s="0" t="s">
        <v>3340</v>
      </c>
      <c r="D37" s="0" t="s">
        <v>3359</v>
      </c>
      <c r="E37" s="0" t="s">
        <v>3360</v>
      </c>
      <c r="F37" s="0" t="s">
        <v>3307</v>
      </c>
      <c r="G37" s="0" t="s">
        <v>1718</v>
      </c>
    </row>
    <row customHeight="1" ht="11.25">
      <c r="A38" s="714" t="s">
        <v>16</v>
      </c>
      <c r="B38" s="0" t="s">
        <v>3361</v>
      </c>
      <c r="C38" s="0" t="s">
        <v>3362</v>
      </c>
      <c r="D38" s="0" t="s">
        <v>3361</v>
      </c>
      <c r="E38" s="0" t="s">
        <v>3362</v>
      </c>
      <c r="F38" s="0" t="s">
        <v>3295</v>
      </c>
      <c r="G38" s="0" t="s">
        <v>1726</v>
      </c>
    </row>
    <row customHeight="1" ht="11.25">
      <c r="A39" s="714" t="s">
        <v>16</v>
      </c>
      <c r="B39" s="0" t="s">
        <v>3363</v>
      </c>
      <c r="C39" s="0" t="s">
        <v>3364</v>
      </c>
      <c r="D39" s="0" t="s">
        <v>3363</v>
      </c>
      <c r="E39" s="0" t="s">
        <v>3364</v>
      </c>
      <c r="F39" s="0" t="s">
        <v>3298</v>
      </c>
      <c r="G39" s="0" t="s">
        <v>1732</v>
      </c>
    </row>
    <row customHeight="1" ht="11.25">
      <c r="A40" s="714" t="s">
        <v>16</v>
      </c>
      <c r="B40" s="0" t="s">
        <v>126</v>
      </c>
      <c r="C40" s="0" t="s">
        <v>3365</v>
      </c>
      <c r="D40" s="0" t="s">
        <v>3366</v>
      </c>
      <c r="E40" s="0" t="s">
        <v>3367</v>
      </c>
      <c r="F40" s="0" t="s">
        <v>3307</v>
      </c>
      <c r="G40" s="0" t="s">
        <v>1737</v>
      </c>
    </row>
    <row customHeight="1" ht="11.25">
      <c r="A41" s="714" t="s">
        <v>16</v>
      </c>
      <c r="B41" s="0" t="s">
        <v>126</v>
      </c>
      <c r="C41" s="0" t="s">
        <v>3365</v>
      </c>
      <c r="D41" s="0" t="s">
        <v>3368</v>
      </c>
      <c r="E41" s="0" t="s">
        <v>3369</v>
      </c>
      <c r="F41" s="0" t="s">
        <v>3307</v>
      </c>
      <c r="G41" s="0" t="s">
        <v>1741</v>
      </c>
    </row>
    <row customHeight="1" ht="11.25">
      <c r="A42" s="714" t="s">
        <v>16</v>
      </c>
      <c r="B42" s="0" t="s">
        <v>126</v>
      </c>
      <c r="C42" s="0" t="s">
        <v>3365</v>
      </c>
      <c r="D42" s="0" t="s">
        <v>3370</v>
      </c>
      <c r="E42" s="0" t="s">
        <v>3371</v>
      </c>
      <c r="F42" s="0" t="s">
        <v>3307</v>
      </c>
      <c r="G42" s="0" t="s">
        <v>1744</v>
      </c>
    </row>
    <row customHeight="1" ht="11.25">
      <c r="A43" s="714" t="s">
        <v>16</v>
      </c>
      <c r="B43" s="0" t="s">
        <v>126</v>
      </c>
      <c r="C43" s="0" t="s">
        <v>3365</v>
      </c>
      <c r="D43" s="0" t="s">
        <v>126</v>
      </c>
      <c r="E43" s="0" t="s">
        <v>3365</v>
      </c>
      <c r="F43" s="0" t="s">
        <v>3308</v>
      </c>
      <c r="G43" s="0" t="s">
        <v>1751</v>
      </c>
    </row>
    <row customHeight="1" ht="11.25">
      <c r="A44" s="714" t="s">
        <v>16</v>
      </c>
      <c r="B44" s="0" t="s">
        <v>126</v>
      </c>
      <c r="C44" s="0" t="s">
        <v>3365</v>
      </c>
      <c r="D44" s="0" t="s">
        <v>3372</v>
      </c>
      <c r="E44" s="0" t="s">
        <v>3373</v>
      </c>
      <c r="F44" s="0" t="s">
        <v>3307</v>
      </c>
      <c r="G44" s="0" t="s">
        <v>1760</v>
      </c>
    </row>
    <row customHeight="1" ht="11.25">
      <c r="A45" s="714" t="s">
        <v>16</v>
      </c>
      <c r="B45" s="0" t="s">
        <v>126</v>
      </c>
      <c r="C45" s="0" t="s">
        <v>3365</v>
      </c>
      <c r="D45" s="0" t="s">
        <v>127</v>
      </c>
      <c r="E45" s="0" t="s">
        <v>128</v>
      </c>
      <c r="F45" s="0" t="s">
        <v>3328</v>
      </c>
      <c r="G45" s="0" t="s">
        <v>125</v>
      </c>
    </row>
    <row customHeight="1" ht="11.25">
      <c r="A46" s="714" t="s">
        <v>16</v>
      </c>
      <c r="B46" s="0" t="s">
        <v>126</v>
      </c>
      <c r="C46" s="0" t="s">
        <v>3365</v>
      </c>
      <c r="D46" s="0" t="s">
        <v>3374</v>
      </c>
      <c r="E46" s="0" t="s">
        <v>3375</v>
      </c>
      <c r="F46" s="0" t="s">
        <v>3307</v>
      </c>
      <c r="G46" s="0" t="s">
        <v>1768</v>
      </c>
    </row>
    <row customHeight="1" ht="11.25">
      <c r="A47" s="714" t="s">
        <v>16</v>
      </c>
      <c r="B47" s="0" t="s">
        <v>126</v>
      </c>
      <c r="C47" s="0" t="s">
        <v>3365</v>
      </c>
      <c r="D47" s="0" t="s">
        <v>3376</v>
      </c>
      <c r="E47" s="0" t="s">
        <v>3377</v>
      </c>
      <c r="F47" s="0" t="s">
        <v>3307</v>
      </c>
      <c r="G47" s="0" t="s">
        <v>1774</v>
      </c>
    </row>
    <row customHeight="1" ht="11.25">
      <c r="A48" s="714" t="s">
        <v>16</v>
      </c>
      <c r="B48" s="0" t="s">
        <v>3378</v>
      </c>
      <c r="C48" s="0" t="s">
        <v>3379</v>
      </c>
      <c r="D48" s="0" t="s">
        <v>3378</v>
      </c>
      <c r="E48" s="0" t="s">
        <v>3379</v>
      </c>
      <c r="F48" s="0" t="s">
        <v>3308</v>
      </c>
      <c r="G48" s="0" t="s">
        <v>1778</v>
      </c>
    </row>
    <row customHeight="1" ht="11.25">
      <c r="A49" s="714" t="s">
        <v>16</v>
      </c>
      <c r="B49" s="0" t="s">
        <v>3378</v>
      </c>
      <c r="C49" s="0" t="s">
        <v>3379</v>
      </c>
      <c r="D49" s="0" t="s">
        <v>3380</v>
      </c>
      <c r="E49" s="0" t="s">
        <v>3381</v>
      </c>
      <c r="F49" s="0" t="s">
        <v>3307</v>
      </c>
      <c r="G49" s="0" t="s">
        <v>1781</v>
      </c>
    </row>
    <row customHeight="1" ht="11.25">
      <c r="A50" s="714" t="s">
        <v>16</v>
      </c>
      <c r="B50" s="0" t="s">
        <v>3378</v>
      </c>
      <c r="C50" s="0" t="s">
        <v>3379</v>
      </c>
      <c r="D50" s="0" t="s">
        <v>3382</v>
      </c>
      <c r="E50" s="0" t="s">
        <v>3383</v>
      </c>
      <c r="F50" s="0" t="s">
        <v>3307</v>
      </c>
      <c r="G50" s="0" t="s">
        <v>1784</v>
      </c>
    </row>
    <row customHeight="1" ht="11.25">
      <c r="A51" s="714" t="s">
        <v>16</v>
      </c>
      <c r="B51" s="0" t="s">
        <v>3378</v>
      </c>
      <c r="C51" s="0" t="s">
        <v>3379</v>
      </c>
      <c r="D51" s="0" t="s">
        <v>3384</v>
      </c>
      <c r="E51" s="0" t="s">
        <v>3385</v>
      </c>
      <c r="F51" s="0" t="s">
        <v>3307</v>
      </c>
      <c r="G51" s="0" t="s">
        <v>1789</v>
      </c>
    </row>
    <row customHeight="1" ht="11.25">
      <c r="A52" s="714" t="s">
        <v>16</v>
      </c>
      <c r="B52" s="0" t="s">
        <v>3386</v>
      </c>
      <c r="C52" s="0" t="s">
        <v>3387</v>
      </c>
      <c r="D52" s="0" t="s">
        <v>3386</v>
      </c>
      <c r="E52" s="0" t="s">
        <v>3387</v>
      </c>
      <c r="F52" s="0" t="s">
        <v>3298</v>
      </c>
      <c r="G52" s="0" t="s">
        <v>1793</v>
      </c>
    </row>
    <row customHeight="1" ht="11.25">
      <c r="A53" s="714" t="s">
        <v>16</v>
      </c>
      <c r="B53" s="0" t="s">
        <v>3388</v>
      </c>
      <c r="C53" s="0" t="s">
        <v>3389</v>
      </c>
      <c r="D53" s="0" t="s">
        <v>3388</v>
      </c>
      <c r="E53" s="0" t="s">
        <v>3389</v>
      </c>
      <c r="F53" s="0" t="s">
        <v>3295</v>
      </c>
      <c r="G53" s="0" t="s">
        <v>1795</v>
      </c>
    </row>
    <row customHeight="1" ht="11.25">
      <c r="A54" s="714" t="s">
        <v>16</v>
      </c>
      <c r="B54" s="0" t="s">
        <v>3390</v>
      </c>
      <c r="C54" s="0" t="s">
        <v>3391</v>
      </c>
      <c r="D54" s="0" t="s">
        <v>3390</v>
      </c>
      <c r="E54" s="0" t="s">
        <v>3391</v>
      </c>
      <c r="F54" s="0" t="s">
        <v>3295</v>
      </c>
      <c r="G54" s="0" t="s">
        <v>1798</v>
      </c>
    </row>
    <row customHeight="1" ht="11.25">
      <c r="A55" s="714" t="s">
        <v>16</v>
      </c>
      <c r="B55" s="0" t="s">
        <v>3392</v>
      </c>
      <c r="C55" s="0" t="s">
        <v>3393</v>
      </c>
      <c r="D55" s="0" t="s">
        <v>3392</v>
      </c>
      <c r="E55" s="0" t="s">
        <v>3393</v>
      </c>
      <c r="F55" s="0" t="s">
        <v>3298</v>
      </c>
      <c r="G55" s="0" t="s">
        <v>1803</v>
      </c>
    </row>
    <row customHeight="1" ht="11.25">
      <c r="A56" s="714" t="s">
        <v>16</v>
      </c>
      <c r="B56" s="0" t="s">
        <v>3394</v>
      </c>
      <c r="C56" s="0" t="s">
        <v>3395</v>
      </c>
      <c r="D56" s="0" t="s">
        <v>3394</v>
      </c>
      <c r="E56" s="0" t="s">
        <v>3395</v>
      </c>
      <c r="F56" s="0" t="s">
        <v>3295</v>
      </c>
      <c r="G56" s="0" t="s">
        <v>1806</v>
      </c>
    </row>
    <row customHeight="1" ht="11.25">
      <c r="A57" s="714" t="s">
        <v>16</v>
      </c>
      <c r="B57" s="0" t="s">
        <v>3396</v>
      </c>
      <c r="C57" s="0" t="s">
        <v>3397</v>
      </c>
      <c r="D57" s="0" t="s">
        <v>3398</v>
      </c>
      <c r="E57" s="0" t="s">
        <v>3399</v>
      </c>
      <c r="F57" s="0" t="s">
        <v>3307</v>
      </c>
      <c r="G57" s="0" t="s">
        <v>1809</v>
      </c>
    </row>
    <row customHeight="1" ht="11.25">
      <c r="A58" s="714" t="s">
        <v>16</v>
      </c>
      <c r="B58" s="0" t="s">
        <v>3396</v>
      </c>
      <c r="C58" s="0" t="s">
        <v>3397</v>
      </c>
      <c r="D58" s="0" t="s">
        <v>3400</v>
      </c>
      <c r="E58" s="0" t="s">
        <v>3401</v>
      </c>
      <c r="F58" s="0" t="s">
        <v>3307</v>
      </c>
      <c r="G58" s="0" t="s">
        <v>1812</v>
      </c>
    </row>
    <row customHeight="1" ht="11.25">
      <c r="A59" s="714" t="s">
        <v>16</v>
      </c>
      <c r="B59" s="0" t="s">
        <v>3396</v>
      </c>
      <c r="C59" s="0" t="s">
        <v>3397</v>
      </c>
      <c r="D59" s="0" t="s">
        <v>3402</v>
      </c>
      <c r="E59" s="0" t="s">
        <v>3403</v>
      </c>
      <c r="F59" s="0" t="s">
        <v>3307</v>
      </c>
      <c r="G59" s="0" t="s">
        <v>1816</v>
      </c>
    </row>
    <row customHeight="1" ht="11.25">
      <c r="A60" s="714" t="s">
        <v>16</v>
      </c>
      <c r="B60" s="0" t="s">
        <v>3396</v>
      </c>
      <c r="C60" s="0" t="s">
        <v>3397</v>
      </c>
      <c r="D60" s="0" t="s">
        <v>3404</v>
      </c>
      <c r="E60" s="0" t="s">
        <v>3405</v>
      </c>
      <c r="F60" s="0" t="s">
        <v>3313</v>
      </c>
      <c r="G60" s="0" t="s">
        <v>1819</v>
      </c>
    </row>
    <row customHeight="1" ht="11.25">
      <c r="A61" s="714" t="s">
        <v>16</v>
      </c>
      <c r="B61" s="0" t="s">
        <v>3396</v>
      </c>
      <c r="C61" s="0" t="s">
        <v>3397</v>
      </c>
      <c r="D61" s="0" t="s">
        <v>3406</v>
      </c>
      <c r="E61" s="0" t="s">
        <v>3407</v>
      </c>
      <c r="F61" s="0" t="s">
        <v>3307</v>
      </c>
      <c r="G61" s="0" t="s">
        <v>3408</v>
      </c>
    </row>
    <row customHeight="1" ht="11.25">
      <c r="A62" s="714" t="s">
        <v>16</v>
      </c>
      <c r="B62" s="0" t="s">
        <v>3396</v>
      </c>
      <c r="C62" s="0" t="s">
        <v>3397</v>
      </c>
      <c r="D62" s="0" t="s">
        <v>3409</v>
      </c>
      <c r="E62" s="0" t="s">
        <v>3410</v>
      </c>
      <c r="F62" s="0" t="s">
        <v>3307</v>
      </c>
      <c r="G62" s="0" t="s">
        <v>3411</v>
      </c>
    </row>
    <row customHeight="1" ht="11.25">
      <c r="A63" s="714" t="s">
        <v>16</v>
      </c>
      <c r="B63" s="0" t="s">
        <v>3396</v>
      </c>
      <c r="C63" s="0" t="s">
        <v>3397</v>
      </c>
      <c r="D63" s="0" t="s">
        <v>3396</v>
      </c>
      <c r="E63" s="0" t="s">
        <v>3397</v>
      </c>
      <c r="F63" s="0" t="s">
        <v>3308</v>
      </c>
      <c r="G63" s="0" t="s">
        <v>3412</v>
      </c>
    </row>
    <row customHeight="1" ht="11.25">
      <c r="A64" s="714" t="s">
        <v>16</v>
      </c>
      <c r="B64" s="0" t="s">
        <v>3396</v>
      </c>
      <c r="C64" s="0" t="s">
        <v>3397</v>
      </c>
      <c r="D64" s="0" t="s">
        <v>3413</v>
      </c>
      <c r="E64" s="0" t="s">
        <v>3414</v>
      </c>
      <c r="F64" s="0" t="s">
        <v>3307</v>
      </c>
      <c r="G64" s="0" t="s">
        <v>3415</v>
      </c>
    </row>
    <row customHeight="1" ht="11.25">
      <c r="A65" s="714" t="s">
        <v>16</v>
      </c>
      <c r="B65" s="0" t="s">
        <v>3416</v>
      </c>
      <c r="C65" s="0" t="s">
        <v>3417</v>
      </c>
      <c r="D65" s="0" t="s">
        <v>3416</v>
      </c>
      <c r="E65" s="0" t="s">
        <v>3417</v>
      </c>
      <c r="F65" s="0" t="s">
        <v>3295</v>
      </c>
      <c r="G65" s="0" t="s">
        <v>3418</v>
      </c>
    </row>
    <row customHeight="1" ht="11.25">
      <c r="A66" s="714" t="s">
        <v>16</v>
      </c>
      <c r="B66" s="0" t="s">
        <v>3419</v>
      </c>
      <c r="C66" s="0" t="s">
        <v>3420</v>
      </c>
      <c r="D66" s="0" t="s">
        <v>3419</v>
      </c>
      <c r="E66" s="0" t="s">
        <v>3420</v>
      </c>
      <c r="F66" s="0" t="s">
        <v>3295</v>
      </c>
      <c r="G66" s="0" t="s">
        <v>3421</v>
      </c>
    </row>
    <row customHeight="1" ht="11.25">
      <c r="A67" s="714" t="s">
        <v>16</v>
      </c>
      <c r="B67" s="0" t="s">
        <v>3422</v>
      </c>
      <c r="C67" s="0" t="s">
        <v>3423</v>
      </c>
      <c r="D67" s="0" t="s">
        <v>3424</v>
      </c>
      <c r="E67" s="0" t="s">
        <v>3425</v>
      </c>
      <c r="F67" s="0" t="s">
        <v>3307</v>
      </c>
      <c r="G67" s="0" t="s">
        <v>2138</v>
      </c>
    </row>
    <row customHeight="1" ht="11.25">
      <c r="A68" s="714" t="s">
        <v>16</v>
      </c>
      <c r="B68" s="0" t="s">
        <v>3422</v>
      </c>
      <c r="C68" s="0" t="s">
        <v>3423</v>
      </c>
      <c r="D68" s="0" t="s">
        <v>3426</v>
      </c>
      <c r="E68" s="0" t="s">
        <v>3427</v>
      </c>
      <c r="F68" s="0" t="s">
        <v>3307</v>
      </c>
      <c r="G68" s="0" t="s">
        <v>3428</v>
      </c>
    </row>
    <row customHeight="1" ht="11.25">
      <c r="A69" s="714" t="s">
        <v>16</v>
      </c>
      <c r="B69" s="0" t="s">
        <v>3422</v>
      </c>
      <c r="C69" s="0" t="s">
        <v>3423</v>
      </c>
      <c r="D69" s="0" t="s">
        <v>3429</v>
      </c>
      <c r="E69" s="0" t="s">
        <v>3430</v>
      </c>
      <c r="F69" s="0" t="s">
        <v>3307</v>
      </c>
      <c r="G69" s="0" t="s">
        <v>2341</v>
      </c>
    </row>
    <row customHeight="1" ht="11.25">
      <c r="A70" s="714" t="s">
        <v>16</v>
      </c>
      <c r="B70" s="0" t="s">
        <v>3422</v>
      </c>
      <c r="C70" s="0" t="s">
        <v>3423</v>
      </c>
      <c r="D70" s="0" t="s">
        <v>3431</v>
      </c>
      <c r="E70" s="0" t="s">
        <v>3432</v>
      </c>
      <c r="F70" s="0" t="s">
        <v>3307</v>
      </c>
      <c r="G70" s="0" t="s">
        <v>3433</v>
      </c>
    </row>
    <row customHeight="1" ht="11.25">
      <c r="A71" s="714" t="s">
        <v>16</v>
      </c>
      <c r="B71" s="0" t="s">
        <v>3422</v>
      </c>
      <c r="C71" s="0" t="s">
        <v>3423</v>
      </c>
      <c r="D71" s="0" t="s">
        <v>3434</v>
      </c>
      <c r="E71" s="0" t="s">
        <v>3435</v>
      </c>
      <c r="F71" s="0" t="s">
        <v>3307</v>
      </c>
      <c r="G71" s="0" t="s">
        <v>3436</v>
      </c>
    </row>
    <row customHeight="1" ht="11.25">
      <c r="A72" s="714" t="s">
        <v>16</v>
      </c>
      <c r="B72" s="0" t="s">
        <v>3422</v>
      </c>
      <c r="C72" s="0" t="s">
        <v>3423</v>
      </c>
      <c r="D72" s="0" t="s">
        <v>3422</v>
      </c>
      <c r="E72" s="0" t="s">
        <v>3423</v>
      </c>
      <c r="F72" s="0" t="s">
        <v>3308</v>
      </c>
      <c r="G72" s="0" t="s">
        <v>3437</v>
      </c>
    </row>
    <row customHeight="1" ht="11.25">
      <c r="A73" s="714" t="s">
        <v>16</v>
      </c>
      <c r="B73" s="0" t="s">
        <v>3422</v>
      </c>
      <c r="C73" s="0" t="s">
        <v>3423</v>
      </c>
      <c r="D73" s="0" t="s">
        <v>3438</v>
      </c>
      <c r="E73" s="0" t="s">
        <v>3439</v>
      </c>
      <c r="F73" s="0" t="s">
        <v>3307</v>
      </c>
      <c r="G73" s="0" t="s">
        <v>3440</v>
      </c>
    </row>
    <row customHeight="1" ht="11.25">
      <c r="A74" s="714" t="s">
        <v>16</v>
      </c>
      <c r="B74" s="0" t="s">
        <v>3422</v>
      </c>
      <c r="C74" s="0" t="s">
        <v>3423</v>
      </c>
      <c r="D74" s="0" t="s">
        <v>3441</v>
      </c>
      <c r="E74" s="0" t="s">
        <v>3442</v>
      </c>
      <c r="F74" s="0" t="s">
        <v>3307</v>
      </c>
      <c r="G74" s="0" t="s">
        <v>3443</v>
      </c>
    </row>
    <row customHeight="1" ht="11.25">
      <c r="A75" s="714" t="s">
        <v>16</v>
      </c>
      <c r="B75" s="0" t="s">
        <v>3422</v>
      </c>
      <c r="C75" s="0" t="s">
        <v>3423</v>
      </c>
      <c r="D75" s="0" t="s">
        <v>3444</v>
      </c>
      <c r="E75" s="0" t="s">
        <v>3445</v>
      </c>
      <c r="F75" s="0" t="s">
        <v>3307</v>
      </c>
      <c r="G75" s="0" t="s">
        <v>3446</v>
      </c>
    </row>
    <row customHeight="1" ht="11.25">
      <c r="A76" s="714" t="s">
        <v>16</v>
      </c>
      <c r="B76" s="0" t="s">
        <v>3447</v>
      </c>
      <c r="C76" s="0" t="s">
        <v>3448</v>
      </c>
      <c r="D76" s="0" t="s">
        <v>3447</v>
      </c>
      <c r="E76" s="0" t="s">
        <v>3448</v>
      </c>
      <c r="F76" s="0" t="s">
        <v>3295</v>
      </c>
      <c r="G76" s="0" t="s">
        <v>3449</v>
      </c>
    </row>
    <row customHeight="1" ht="11.25">
      <c r="A77" s="714" t="s">
        <v>16</v>
      </c>
      <c r="B77" s="0" t="s">
        <v>3450</v>
      </c>
      <c r="C77" s="0" t="s">
        <v>3451</v>
      </c>
      <c r="D77" s="0" t="s">
        <v>3450</v>
      </c>
      <c r="E77" s="0" t="s">
        <v>3451</v>
      </c>
      <c r="F77" s="0" t="s">
        <v>3298</v>
      </c>
      <c r="G77" s="0" t="s">
        <v>3452</v>
      </c>
    </row>
    <row customHeight="1" ht="11.25">
      <c r="A78" s="714" t="s">
        <v>16</v>
      </c>
      <c r="B78" s="0" t="s">
        <v>3453</v>
      </c>
      <c r="C78" s="0" t="s">
        <v>3454</v>
      </c>
      <c r="D78" s="0" t="s">
        <v>3453</v>
      </c>
      <c r="E78" s="0" t="s">
        <v>3454</v>
      </c>
      <c r="F78" s="0" t="s">
        <v>3295</v>
      </c>
      <c r="G78" s="0" t="s">
        <v>3455</v>
      </c>
    </row>
    <row customHeight="1" ht="11.25">
      <c r="A79" s="714" t="s">
        <v>16</v>
      </c>
      <c r="B79" s="0" t="s">
        <v>100</v>
      </c>
      <c r="C79" s="0" t="s">
        <v>101</v>
      </c>
      <c r="D79" s="0" t="s">
        <v>100</v>
      </c>
      <c r="E79" s="0" t="s">
        <v>101</v>
      </c>
      <c r="F79" s="0" t="s">
        <v>3295</v>
      </c>
      <c r="G79" s="0" t="s">
        <v>99</v>
      </c>
    </row>
    <row customHeight="1" ht="11.25">
      <c r="A80" s="714" t="s">
        <v>16</v>
      </c>
      <c r="B80" s="0" t="s">
        <v>3456</v>
      </c>
      <c r="C80" s="0" t="s">
        <v>3457</v>
      </c>
      <c r="D80" s="0" t="s">
        <v>3456</v>
      </c>
      <c r="E80" s="0" t="s">
        <v>3457</v>
      </c>
      <c r="F80" s="0" t="s">
        <v>3295</v>
      </c>
      <c r="G80" s="0" t="s">
        <v>3458</v>
      </c>
    </row>
    <row customHeight="1" ht="11.25">
      <c r="A81" s="714" t="s">
        <v>16</v>
      </c>
      <c r="B81" s="0" t="s">
        <v>141</v>
      </c>
      <c r="C81" s="0" t="s">
        <v>142</v>
      </c>
      <c r="D81" s="0" t="s">
        <v>141</v>
      </c>
      <c r="E81" s="0" t="s">
        <v>142</v>
      </c>
      <c r="F81" s="0" t="s">
        <v>3295</v>
      </c>
      <c r="G81" s="0" t="s">
        <v>140</v>
      </c>
    </row>
    <row customHeight="1" ht="11.25">
      <c r="A82" s="714" t="s">
        <v>16</v>
      </c>
      <c r="B82" s="0" t="s">
        <v>3459</v>
      </c>
      <c r="C82" s="0" t="s">
        <v>3460</v>
      </c>
      <c r="D82" s="0" t="s">
        <v>3461</v>
      </c>
      <c r="E82" s="0" t="s">
        <v>3462</v>
      </c>
      <c r="F82" s="0" t="s">
        <v>3307</v>
      </c>
      <c r="G82" s="0" t="s">
        <v>3463</v>
      </c>
    </row>
    <row customHeight="1" ht="11.25">
      <c r="A83" s="714" t="s">
        <v>16</v>
      </c>
      <c r="B83" s="0" t="s">
        <v>3459</v>
      </c>
      <c r="C83" s="0" t="s">
        <v>3460</v>
      </c>
      <c r="D83" s="0" t="s">
        <v>3464</v>
      </c>
      <c r="E83" s="0" t="s">
        <v>3465</v>
      </c>
      <c r="F83" s="0" t="s">
        <v>3313</v>
      </c>
      <c r="G83" s="0" t="s">
        <v>3466</v>
      </c>
    </row>
    <row customHeight="1" ht="11.25">
      <c r="A84" s="714" t="s">
        <v>16</v>
      </c>
      <c r="B84" s="0" t="s">
        <v>3459</v>
      </c>
      <c r="C84" s="0" t="s">
        <v>3460</v>
      </c>
      <c r="D84" s="0" t="s">
        <v>3467</v>
      </c>
      <c r="E84" s="0" t="s">
        <v>3468</v>
      </c>
      <c r="F84" s="0" t="s">
        <v>3307</v>
      </c>
      <c r="G84" s="0" t="s">
        <v>3469</v>
      </c>
    </row>
    <row customHeight="1" ht="11.25">
      <c r="A85" s="714" t="s">
        <v>16</v>
      </c>
      <c r="B85" s="0" t="s">
        <v>3459</v>
      </c>
      <c r="C85" s="0" t="s">
        <v>3460</v>
      </c>
      <c r="D85" s="0" t="s">
        <v>3470</v>
      </c>
      <c r="E85" s="0" t="s">
        <v>3471</v>
      </c>
      <c r="F85" s="0" t="s">
        <v>3328</v>
      </c>
      <c r="G85" s="0" t="s">
        <v>3472</v>
      </c>
    </row>
    <row customHeight="1" ht="11.25">
      <c r="A86" s="714" t="s">
        <v>16</v>
      </c>
      <c r="B86" s="0" t="s">
        <v>3459</v>
      </c>
      <c r="C86" s="0" t="s">
        <v>3460</v>
      </c>
      <c r="D86" s="0" t="s">
        <v>3473</v>
      </c>
      <c r="E86" s="0" t="s">
        <v>3474</v>
      </c>
      <c r="F86" s="0" t="s">
        <v>3307</v>
      </c>
      <c r="G86" s="0" t="s">
        <v>3475</v>
      </c>
    </row>
    <row customHeight="1" ht="11.25">
      <c r="A87" s="714" t="s">
        <v>16</v>
      </c>
      <c r="B87" s="0" t="s">
        <v>3459</v>
      </c>
      <c r="C87" s="0" t="s">
        <v>3460</v>
      </c>
      <c r="D87" s="0" t="s">
        <v>3459</v>
      </c>
      <c r="E87" s="0" t="s">
        <v>3460</v>
      </c>
      <c r="F87" s="0" t="s">
        <v>3308</v>
      </c>
      <c r="G87" s="0" t="s">
        <v>3476</v>
      </c>
    </row>
    <row customHeight="1" ht="11.25">
      <c r="A88" s="714" t="s">
        <v>16</v>
      </c>
      <c r="B88" s="0" t="s">
        <v>3459</v>
      </c>
      <c r="C88" s="0" t="s">
        <v>3460</v>
      </c>
      <c r="D88" s="0" t="s">
        <v>3477</v>
      </c>
      <c r="E88" s="0" t="s">
        <v>3478</v>
      </c>
      <c r="F88" s="0" t="s">
        <v>3307</v>
      </c>
      <c r="G88" s="0" t="s">
        <v>3479</v>
      </c>
    </row>
    <row customHeight="1" ht="11.25">
      <c r="A89" s="714" t="s">
        <v>16</v>
      </c>
      <c r="B89" s="0" t="s">
        <v>3480</v>
      </c>
      <c r="C89" s="0" t="s">
        <v>3481</v>
      </c>
      <c r="D89" s="0" t="s">
        <v>3480</v>
      </c>
      <c r="E89" s="0" t="s">
        <v>3481</v>
      </c>
      <c r="F89" s="0" t="s">
        <v>3295</v>
      </c>
      <c r="G89" s="0" t="s">
        <v>3482</v>
      </c>
    </row>
    <row customHeight="1" ht="11.25">
      <c r="A90" s="714" t="s">
        <v>16</v>
      </c>
      <c r="B90" s="0" t="s">
        <v>107</v>
      </c>
      <c r="C90" s="0" t="s">
        <v>108</v>
      </c>
      <c r="D90" s="0" t="s">
        <v>107</v>
      </c>
      <c r="E90" s="0" t="s">
        <v>108</v>
      </c>
      <c r="F90" s="0" t="s">
        <v>3295</v>
      </c>
      <c r="G90" s="0" t="s">
        <v>106</v>
      </c>
    </row>
    <row customHeight="1" ht="11.25">
      <c r="A91" s="714" t="s">
        <v>16</v>
      </c>
      <c r="B91" s="0" t="s">
        <v>3483</v>
      </c>
      <c r="C91" s="0" t="s">
        <v>3484</v>
      </c>
      <c r="D91" s="0" t="s">
        <v>3485</v>
      </c>
      <c r="E91" s="0" t="s">
        <v>3486</v>
      </c>
      <c r="F91" s="0" t="s">
        <v>3307</v>
      </c>
      <c r="G91" s="0" t="s">
        <v>3487</v>
      </c>
    </row>
    <row customHeight="1" ht="11.25">
      <c r="A92" s="714" t="s">
        <v>16</v>
      </c>
      <c r="B92" s="0" t="s">
        <v>3483</v>
      </c>
      <c r="C92" s="0" t="s">
        <v>3484</v>
      </c>
      <c r="D92" s="0" t="s">
        <v>3488</v>
      </c>
      <c r="E92" s="0" t="s">
        <v>3489</v>
      </c>
      <c r="F92" s="0" t="s">
        <v>3307</v>
      </c>
      <c r="G92" s="0" t="s">
        <v>3490</v>
      </c>
    </row>
    <row customHeight="1" ht="11.25">
      <c r="A93" s="714" t="s">
        <v>16</v>
      </c>
      <c r="B93" s="0" t="s">
        <v>3483</v>
      </c>
      <c r="C93" s="0" t="s">
        <v>3484</v>
      </c>
      <c r="D93" s="0" t="s">
        <v>3491</v>
      </c>
      <c r="E93" s="0" t="s">
        <v>3492</v>
      </c>
      <c r="F93" s="0" t="s">
        <v>3307</v>
      </c>
      <c r="G93" s="0" t="s">
        <v>3493</v>
      </c>
    </row>
    <row customHeight="1" ht="11.25">
      <c r="A94" s="714" t="s">
        <v>16</v>
      </c>
      <c r="B94" s="0" t="s">
        <v>3483</v>
      </c>
      <c r="C94" s="0" t="s">
        <v>3484</v>
      </c>
      <c r="D94" s="0" t="s">
        <v>3494</v>
      </c>
      <c r="E94" s="0" t="s">
        <v>3495</v>
      </c>
      <c r="F94" s="0" t="s">
        <v>3328</v>
      </c>
      <c r="G94" s="0" t="s">
        <v>3496</v>
      </c>
    </row>
    <row customHeight="1" ht="11.25">
      <c r="A95" s="714" t="s">
        <v>16</v>
      </c>
      <c r="B95" s="0" t="s">
        <v>3483</v>
      </c>
      <c r="C95" s="0" t="s">
        <v>3484</v>
      </c>
      <c r="D95" s="0" t="s">
        <v>3497</v>
      </c>
      <c r="E95" s="0" t="s">
        <v>3498</v>
      </c>
      <c r="F95" s="0" t="s">
        <v>3307</v>
      </c>
      <c r="G95" s="0" t="s">
        <v>3499</v>
      </c>
    </row>
    <row customHeight="1" ht="11.25">
      <c r="A96" s="714" t="s">
        <v>16</v>
      </c>
      <c r="B96" s="0" t="s">
        <v>3483</v>
      </c>
      <c r="C96" s="0" t="s">
        <v>3484</v>
      </c>
      <c r="D96" s="0" t="s">
        <v>3483</v>
      </c>
      <c r="E96" s="0" t="s">
        <v>3484</v>
      </c>
      <c r="F96" s="0" t="s">
        <v>3308</v>
      </c>
      <c r="G96" s="0" t="s">
        <v>3500</v>
      </c>
    </row>
    <row customHeight="1" ht="11.25">
      <c r="A97" s="714" t="s">
        <v>16</v>
      </c>
      <c r="B97" s="0" t="s">
        <v>3483</v>
      </c>
      <c r="C97" s="0" t="s">
        <v>3484</v>
      </c>
      <c r="D97" s="0" t="s">
        <v>3501</v>
      </c>
      <c r="E97" s="0" t="s">
        <v>3502</v>
      </c>
      <c r="F97" s="0" t="s">
        <v>3328</v>
      </c>
      <c r="G97" s="0" t="s">
        <v>3503</v>
      </c>
    </row>
    <row customHeight="1" ht="11.25">
      <c r="A98" s="714" t="s">
        <v>16</v>
      </c>
      <c r="B98" s="0" t="s">
        <v>3483</v>
      </c>
      <c r="C98" s="0" t="s">
        <v>3484</v>
      </c>
      <c r="D98" s="0" t="s">
        <v>3504</v>
      </c>
      <c r="E98" s="0" t="s">
        <v>3505</v>
      </c>
      <c r="F98" s="0" t="s">
        <v>3307</v>
      </c>
      <c r="G98" s="0" t="s">
        <v>3506</v>
      </c>
    </row>
    <row customHeight="1" ht="11.25">
      <c r="A99" s="714" t="s">
        <v>16</v>
      </c>
      <c r="B99" s="0" t="s">
        <v>3507</v>
      </c>
      <c r="C99" s="0" t="s">
        <v>3508</v>
      </c>
      <c r="D99" s="0" t="s">
        <v>3507</v>
      </c>
      <c r="E99" s="0" t="s">
        <v>3508</v>
      </c>
      <c r="F99" s="0" t="s">
        <v>3295</v>
      </c>
      <c r="G99" s="0" t="s">
        <v>3509</v>
      </c>
    </row>
    <row customHeight="1" ht="11.25">
      <c r="A100" s="714" t="s">
        <v>16</v>
      </c>
      <c r="B100" s="0" t="s">
        <v>3510</v>
      </c>
      <c r="C100" s="0" t="s">
        <v>3511</v>
      </c>
      <c r="D100" s="0" t="s">
        <v>3512</v>
      </c>
      <c r="E100" s="0" t="s">
        <v>3513</v>
      </c>
      <c r="F100" s="0" t="s">
        <v>3307</v>
      </c>
      <c r="G100" s="0" t="s">
        <v>3514</v>
      </c>
    </row>
    <row customHeight="1" ht="11.25">
      <c r="A101" s="714" t="s">
        <v>16</v>
      </c>
      <c r="B101" s="0" t="s">
        <v>3510</v>
      </c>
      <c r="C101" s="0" t="s">
        <v>3511</v>
      </c>
      <c r="D101" s="0" t="s">
        <v>3515</v>
      </c>
      <c r="E101" s="0" t="s">
        <v>3516</v>
      </c>
      <c r="F101" s="0" t="s">
        <v>3307</v>
      </c>
      <c r="G101" s="0" t="s">
        <v>3517</v>
      </c>
    </row>
    <row customHeight="1" ht="11.25">
      <c r="A102" s="714" t="s">
        <v>16</v>
      </c>
      <c r="B102" s="0" t="s">
        <v>3510</v>
      </c>
      <c r="C102" s="0" t="s">
        <v>3511</v>
      </c>
      <c r="D102" s="0" t="s">
        <v>3518</v>
      </c>
      <c r="E102" s="0" t="s">
        <v>3519</v>
      </c>
      <c r="F102" s="0" t="s">
        <v>3307</v>
      </c>
      <c r="G102" s="0" t="s">
        <v>3520</v>
      </c>
    </row>
    <row customHeight="1" ht="11.25">
      <c r="A103" s="714" t="s">
        <v>16</v>
      </c>
      <c r="B103" s="0" t="s">
        <v>3510</v>
      </c>
      <c r="C103" s="0" t="s">
        <v>3511</v>
      </c>
      <c r="D103" s="0" t="s">
        <v>3521</v>
      </c>
      <c r="E103" s="0" t="s">
        <v>3522</v>
      </c>
      <c r="F103" s="0" t="s">
        <v>3307</v>
      </c>
      <c r="G103" s="0" t="s">
        <v>3523</v>
      </c>
    </row>
    <row customHeight="1" ht="11.25">
      <c r="A104" s="714" t="s">
        <v>16</v>
      </c>
      <c r="B104" s="0" t="s">
        <v>3510</v>
      </c>
      <c r="C104" s="0" t="s">
        <v>3511</v>
      </c>
      <c r="D104" s="0" t="s">
        <v>3510</v>
      </c>
      <c r="E104" s="0" t="s">
        <v>3511</v>
      </c>
      <c r="F104" s="0" t="s">
        <v>3308</v>
      </c>
      <c r="G104" s="0" t="s">
        <v>3524</v>
      </c>
    </row>
    <row customHeight="1" ht="11.25">
      <c r="A105" s="714" t="s">
        <v>16</v>
      </c>
      <c r="B105" s="0" t="s">
        <v>3510</v>
      </c>
      <c r="C105" s="0" t="s">
        <v>3511</v>
      </c>
      <c r="D105" s="0" t="s">
        <v>3525</v>
      </c>
      <c r="E105" s="0" t="s">
        <v>3526</v>
      </c>
      <c r="F105" s="0" t="s">
        <v>3307</v>
      </c>
      <c r="G105" s="0" t="s">
        <v>3527</v>
      </c>
    </row>
    <row customHeight="1" ht="11.25">
      <c r="A106" s="714" t="s">
        <v>16</v>
      </c>
      <c r="B106" s="0" t="s">
        <v>3528</v>
      </c>
      <c r="C106" s="0" t="s">
        <v>3529</v>
      </c>
      <c r="D106" s="0" t="s">
        <v>3528</v>
      </c>
      <c r="E106" s="0" t="s">
        <v>3529</v>
      </c>
      <c r="F106" s="0" t="s">
        <v>3298</v>
      </c>
      <c r="G106" s="0" t="s">
        <v>3530</v>
      </c>
    </row>
    <row customHeight="1" ht="11.25">
      <c r="A107" s="714" t="s">
        <v>16</v>
      </c>
      <c r="B107" s="0" t="s">
        <v>132</v>
      </c>
      <c r="C107" s="0" t="s">
        <v>133</v>
      </c>
      <c r="D107" s="0" t="s">
        <v>132</v>
      </c>
      <c r="E107" s="0" t="s">
        <v>133</v>
      </c>
      <c r="F107" s="0" t="s">
        <v>3298</v>
      </c>
      <c r="G107" s="0" t="s">
        <v>131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F53FC-0D04-5BA7-9467-189E4DAFC80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764" width="13.8515625" customWidth="1"/>
    <col min="2" max="2" style="27764" width="10.421875" customWidth="1"/>
    <col min="3" max="3" style="27764" width="7.57421875" customWidth="1"/>
    <col min="4" max="4" style="27764" width="13.8515625" customWidth="1"/>
    <col min="5" max="5" style="27764" width="11.57421875" customWidth="1"/>
    <col min="6" max="6" style="27764" width="16.28125" customWidth="1"/>
    <col min="7" max="7" style="27764" width="16.00390625" customWidth="1"/>
    <col min="8" max="9" style="27764" width="16.140625" customWidth="1"/>
  </cols>
  <sheetData>
    <row customHeight="1" ht="11.25">
      <c r="A1" s="1176" t="s">
        <v>3531</v>
      </c>
      <c r="B1" s="1176" t="s">
        <v>3532</v>
      </c>
      <c r="C1" s="1500" t="s">
        <v>3533</v>
      </c>
      <c r="D1" s="1176" t="s">
        <v>3534</v>
      </c>
      <c r="E1" s="1176" t="s">
        <v>3535</v>
      </c>
      <c r="F1" s="1500" t="s">
        <v>3536</v>
      </c>
      <c r="G1" s="1500" t="s">
        <v>3537</v>
      </c>
      <c r="H1" s="1500" t="s">
        <v>3538</v>
      </c>
      <c r="I1" s="150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547EE-93A2-48C6-017D-31C464F0DA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E35E-FCA6-B981-461B-261E3EA5A00E}" mc:Ignorable="x14ac xr xr2 xr3">
  <sheetPr>
    <tabColor rgb="FFFFCC99"/>
  </sheetPr>
  <dimension ref="A1:B12"/>
  <sheetViews>
    <sheetView topLeftCell="A1" showGridLines="0" workbookViewId="0">
      <selection activeCell="A1" sqref="A1"/>
    </sheetView>
  </sheetViews>
  <sheetFormatPr defaultColWidth="9.140625" customHeight="1" defaultRowHeight="11.25"/>
  <cols>
    <col min="1" max="2" style="27767" width="9.140625"/>
  </cols>
  <sheetData>
    <row customHeight="1" ht="11.25">
      <c r="A1" s="524" t="s">
        <v>171</v>
      </c>
      <c r="B1" s="524" t="s">
        <v>3540</v>
      </c>
    </row>
    <row customHeight="1" ht="11.25">
      <c r="A2" s="21499" t="s">
        <v>98</v>
      </c>
      <c r="B2" s="21499" t="s">
        <v>3541</v>
      </c>
    </row>
    <row customHeight="1" ht="11.25">
      <c r="A3" s="21499" t="s">
        <v>105</v>
      </c>
      <c r="B3" s="21499" t="s">
        <v>3542</v>
      </c>
    </row>
    <row customHeight="1" ht="11.25">
      <c r="A4" s="21499" t="s">
        <v>109</v>
      </c>
      <c r="B4" s="21499" t="s">
        <v>3543</v>
      </c>
    </row>
    <row customHeight="1" ht="11.25">
      <c r="A5" s="21499" t="s">
        <v>112</v>
      </c>
      <c r="B5" s="21499" t="s">
        <v>3544</v>
      </c>
    </row>
    <row customHeight="1" ht="11.25">
      <c r="A6" s="21499" t="s">
        <v>117</v>
      </c>
      <c r="B6" s="21499" t="s">
        <v>3545</v>
      </c>
    </row>
    <row customHeight="1" ht="11.25">
      <c r="A7" s="21499" t="s">
        <v>121</v>
      </c>
      <c r="B7" s="21499" t="s">
        <v>3546</v>
      </c>
    </row>
    <row customHeight="1" ht="11.25">
      <c r="A8" s="21499" t="s">
        <v>124</v>
      </c>
      <c r="B8" s="21499" t="s">
        <v>3547</v>
      </c>
    </row>
    <row customHeight="1" ht="11.25">
      <c r="A9" s="21499" t="s">
        <v>130</v>
      </c>
      <c r="B9" s="21499" t="s">
        <v>3548</v>
      </c>
    </row>
    <row customHeight="1" ht="11.25">
      <c r="A10" s="21499" t="s">
        <v>135</v>
      </c>
      <c r="B10" s="21499" t="s">
        <v>3549</v>
      </c>
    </row>
    <row customHeight="1" ht="11.25">
      <c r="A11" s="21499" t="s">
        <v>139</v>
      </c>
      <c r="B11" s="21499" t="s">
        <v>3550</v>
      </c>
    </row>
    <row customHeight="1" ht="11.25">
      <c r="A12" s="21499" t="s">
        <v>144</v>
      </c>
      <c r="B12" s="21499"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10825-ADFC-CE4C-E732-3862A66ADE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764" width="9.140625"/>
    <col min="2" max="2" style="27764" width="65.28125" customWidth="1"/>
  </cols>
  <sheetData>
    <row customHeight="1" ht="11.25">
      <c r="A1" s="1176" t="s">
        <v>3552</v>
      </c>
      <c r="B1" s="1176" t="s">
        <v>3553</v>
      </c>
    </row>
    <row customHeight="1" ht="11.25">
      <c r="A2" s="1176">
        <v>4213775</v>
      </c>
      <c r="B2" s="1176" t="s">
        <v>1339</v>
      </c>
    </row>
    <row customHeight="1" ht="11.25">
      <c r="A3" s="1176">
        <v>4213784</v>
      </c>
      <c r="B3" s="1176" t="s">
        <v>1372</v>
      </c>
    </row>
    <row customHeight="1" ht="11.25">
      <c r="A4" s="1176">
        <v>4213781</v>
      </c>
      <c r="B4" s="1176" t="s">
        <v>1365</v>
      </c>
    </row>
    <row customHeight="1" ht="11.25">
      <c r="A5" s="1176">
        <v>4213776</v>
      </c>
      <c r="B5" s="1176" t="s">
        <v>204</v>
      </c>
    </row>
    <row customHeight="1" ht="11.25">
      <c r="A6" s="1176">
        <v>4213777</v>
      </c>
      <c r="B6" s="1176" t="s">
        <v>210</v>
      </c>
    </row>
    <row customHeight="1" ht="11.25">
      <c r="A7" s="1176">
        <v>4213778</v>
      </c>
      <c r="B7" s="1176" t="s">
        <v>216</v>
      </c>
    </row>
    <row customHeight="1" ht="11.25">
      <c r="A8" s="1176">
        <v>4213780</v>
      </c>
      <c r="B8" s="1176" t="s">
        <v>222</v>
      </c>
    </row>
    <row customHeight="1" ht="11.25">
      <c r="A9" s="1176">
        <v>4213779</v>
      </c>
      <c r="B9" s="1176" t="s">
        <v>1506</v>
      </c>
    </row>
    <row customHeight="1" ht="11.25">
      <c r="A10" s="1176">
        <v>4213783</v>
      </c>
      <c r="B10" s="1176" t="s">
        <v>1521</v>
      </c>
    </row>
    <row customHeight="1" ht="11.25">
      <c r="A11" s="1176">
        <v>4213782</v>
      </c>
      <c r="B11" s="1176" t="s">
        <v>228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FDED2-9CB1-0144-F3D2-CB1AA1AAC3F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27764" width="9.140625"/>
    <col min="2" max="2" style="27764" width="65.28125" customWidth="1"/>
  </cols>
  <sheetData>
    <row customHeight="1" ht="11.25">
      <c r="A1" s="1176" t="s">
        <v>3552</v>
      </c>
      <c r="B1" s="1176" t="s">
        <v>3554</v>
      </c>
    </row>
    <row customHeight="1" ht="11.25">
      <c r="A2" s="1176" t="s">
        <v>3555</v>
      </c>
      <c r="B2" s="1176" t="s">
        <v>1619</v>
      </c>
    </row>
    <row customHeight="1" ht="11.25">
      <c r="A3" s="1176" t="s">
        <v>3556</v>
      </c>
      <c r="B3" s="1176" t="s">
        <v>1629</v>
      </c>
    </row>
    <row customHeight="1" ht="11.25">
      <c r="A4" s="1176" t="s">
        <v>3557</v>
      </c>
      <c r="B4" s="1176" t="s">
        <v>1638</v>
      </c>
    </row>
    <row customHeight="1" ht="11.25">
      <c r="A5" s="1176" t="s">
        <v>3558</v>
      </c>
      <c r="B5" s="1176" t="s">
        <v>1647</v>
      </c>
    </row>
    <row customHeight="1" ht="11.25">
      <c r="A6" s="1176" t="s">
        <v>3559</v>
      </c>
      <c r="B6" s="1176" t="s">
        <v>1653</v>
      </c>
    </row>
    <row customHeight="1" ht="11.25">
      <c r="A7" s="1176" t="s">
        <v>3560</v>
      </c>
      <c r="B7" s="1176" t="s">
        <v>1661</v>
      </c>
    </row>
    <row customHeight="1" ht="11.25">
      <c r="A8" s="1176" t="s">
        <v>3561</v>
      </c>
      <c r="B8" s="1176" t="s">
        <v>1668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85541-5F12-3C3D-0E02-BB7A2E9620A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14" t="s">
        <v>3288</v>
      </c>
      <c r="B1" s="714" t="s">
        <v>3289</v>
      </c>
      <c r="C1" s="714" t="s">
        <v>3290</v>
      </c>
      <c r="D1" s="714" t="s">
        <v>3291</v>
      </c>
      <c r="E1" s="0" t="s">
        <v>3292</v>
      </c>
      <c r="F1" s="0" t="s">
        <v>3293</v>
      </c>
      <c r="G1" s="0" t="s">
        <v>3294</v>
      </c>
    </row>
    <row customHeight="1" ht="11.25">
      <c r="A2" s="0" t="s">
        <v>16</v>
      </c>
      <c r="B2" s="0" t="s">
        <v>146</v>
      </c>
      <c r="C2" s="0" t="s">
        <v>147</v>
      </c>
      <c r="D2" s="0" t="s">
        <v>146</v>
      </c>
      <c r="E2" s="0" t="s">
        <v>147</v>
      </c>
      <c r="F2" s="0" t="s">
        <v>3295</v>
      </c>
      <c r="G2" s="0" t="s">
        <v>145</v>
      </c>
    </row>
    <row customHeight="1" ht="11.25">
      <c r="A3" s="0" t="s">
        <v>16</v>
      </c>
      <c r="B3" s="0" t="s">
        <v>3296</v>
      </c>
      <c r="C3" s="0" t="s">
        <v>3297</v>
      </c>
      <c r="D3" s="0" t="s">
        <v>3296</v>
      </c>
      <c r="E3" s="0" t="s">
        <v>3297</v>
      </c>
      <c r="F3" s="0" t="s">
        <v>3298</v>
      </c>
      <c r="G3" s="0" t="s">
        <v>103</v>
      </c>
    </row>
    <row customHeight="1" ht="11.25">
      <c r="A4" s="0" t="s">
        <v>16</v>
      </c>
      <c r="B4" s="0" t="s">
        <v>3299</v>
      </c>
      <c r="C4" s="0" t="s">
        <v>3300</v>
      </c>
      <c r="D4" s="0" t="s">
        <v>3299</v>
      </c>
      <c r="E4" s="0" t="s">
        <v>3300</v>
      </c>
      <c r="F4" s="0" t="s">
        <v>3298</v>
      </c>
      <c r="G4" s="0" t="s">
        <v>90</v>
      </c>
    </row>
    <row customHeight="1" ht="11.25">
      <c r="A5" s="0" t="s">
        <v>16</v>
      </c>
      <c r="B5" s="0" t="s">
        <v>3301</v>
      </c>
      <c r="C5" s="0" t="s">
        <v>3302</v>
      </c>
      <c r="D5" s="0" t="s">
        <v>3301</v>
      </c>
      <c r="E5" s="0" t="s">
        <v>3302</v>
      </c>
      <c r="F5" s="0" t="s">
        <v>3298</v>
      </c>
      <c r="G5" s="0" t="s">
        <v>91</v>
      </c>
    </row>
    <row customHeight="1" ht="11.25">
      <c r="A6" s="0" t="s">
        <v>16</v>
      </c>
      <c r="B6" s="0" t="s">
        <v>136</v>
      </c>
      <c r="C6" s="0" t="s">
        <v>137</v>
      </c>
      <c r="D6" s="0" t="s">
        <v>136</v>
      </c>
      <c r="E6" s="0" t="s">
        <v>137</v>
      </c>
      <c r="F6" s="0" t="s">
        <v>3298</v>
      </c>
      <c r="G6" s="0" t="s">
        <v>116</v>
      </c>
    </row>
    <row customHeight="1" ht="11.25">
      <c r="A7" s="0" t="s">
        <v>16</v>
      </c>
      <c r="B7" s="0" t="s">
        <v>122</v>
      </c>
      <c r="C7" s="0" t="s">
        <v>123</v>
      </c>
      <c r="D7" s="0" t="s">
        <v>122</v>
      </c>
      <c r="E7" s="0" t="s">
        <v>123</v>
      </c>
      <c r="F7" s="0" t="s">
        <v>3298</v>
      </c>
      <c r="G7" s="0" t="s">
        <v>92</v>
      </c>
    </row>
    <row customHeight="1" ht="11.25">
      <c r="A8" s="0" t="s">
        <v>16</v>
      </c>
      <c r="B8" s="0" t="s">
        <v>110</v>
      </c>
      <c r="C8" s="0" t="s">
        <v>111</v>
      </c>
      <c r="D8" s="0" t="s">
        <v>110</v>
      </c>
      <c r="E8" s="0" t="s">
        <v>111</v>
      </c>
      <c r="F8" s="0" t="s">
        <v>3298</v>
      </c>
      <c r="G8" s="0" t="s">
        <v>93</v>
      </c>
    </row>
    <row customHeight="1" ht="11.25">
      <c r="A9" s="0" t="s">
        <v>16</v>
      </c>
      <c r="B9" s="0" t="s">
        <v>3303</v>
      </c>
      <c r="C9" s="0" t="s">
        <v>3304</v>
      </c>
      <c r="D9" s="0" t="s">
        <v>3305</v>
      </c>
      <c r="E9" s="0" t="s">
        <v>3306</v>
      </c>
      <c r="F9" s="0" t="s">
        <v>3307</v>
      </c>
      <c r="G9" s="0" t="s">
        <v>129</v>
      </c>
    </row>
    <row customHeight="1" ht="11.25">
      <c r="A10" s="0" t="s">
        <v>16</v>
      </c>
      <c r="B10" s="0" t="s">
        <v>3303</v>
      </c>
      <c r="C10" s="0" t="s">
        <v>3304</v>
      </c>
      <c r="D10" s="0" t="s">
        <v>3303</v>
      </c>
      <c r="E10" s="0" t="s">
        <v>3304</v>
      </c>
      <c r="F10" s="0" t="s">
        <v>3308</v>
      </c>
      <c r="G10" s="0" t="s">
        <v>134</v>
      </c>
    </row>
    <row customHeight="1" ht="11.25">
      <c r="A11" s="0" t="s">
        <v>16</v>
      </c>
      <c r="B11" s="0" t="s">
        <v>3303</v>
      </c>
      <c r="C11" s="0" t="s">
        <v>3304</v>
      </c>
      <c r="D11" s="0" t="s">
        <v>3309</v>
      </c>
      <c r="E11" s="0" t="s">
        <v>3310</v>
      </c>
      <c r="F11" s="0" t="s">
        <v>3307</v>
      </c>
      <c r="G11" s="0" t="s">
        <v>138</v>
      </c>
    </row>
    <row customHeight="1" ht="11.25">
      <c r="A12" s="0" t="s">
        <v>16</v>
      </c>
      <c r="B12" s="0" t="s">
        <v>3303</v>
      </c>
      <c r="C12" s="0" t="s">
        <v>3304</v>
      </c>
      <c r="D12" s="0" t="s">
        <v>3311</v>
      </c>
      <c r="E12" s="0" t="s">
        <v>3312</v>
      </c>
      <c r="F12" s="0" t="s">
        <v>3313</v>
      </c>
      <c r="G12" s="0" t="s">
        <v>143</v>
      </c>
    </row>
    <row customHeight="1" ht="11.25">
      <c r="A13" s="0" t="s">
        <v>16</v>
      </c>
      <c r="B13" s="0" t="s">
        <v>3303</v>
      </c>
      <c r="C13" s="0" t="s">
        <v>3304</v>
      </c>
      <c r="D13" s="0" t="s">
        <v>3314</v>
      </c>
      <c r="E13" s="0" t="s">
        <v>3315</v>
      </c>
      <c r="F13" s="0" t="s">
        <v>3307</v>
      </c>
      <c r="G13" s="0" t="s">
        <v>189</v>
      </c>
    </row>
    <row customHeight="1" ht="11.25">
      <c r="A14" s="0" t="s">
        <v>16</v>
      </c>
      <c r="B14" s="0" t="s">
        <v>3303</v>
      </c>
      <c r="C14" s="0" t="s">
        <v>3304</v>
      </c>
      <c r="D14" s="0" t="s">
        <v>3316</v>
      </c>
      <c r="E14" s="0" t="s">
        <v>3317</v>
      </c>
      <c r="F14" s="0" t="s">
        <v>3307</v>
      </c>
      <c r="G14" s="0" t="s">
        <v>190</v>
      </c>
    </row>
    <row customHeight="1" ht="11.25">
      <c r="A15" s="0" t="s">
        <v>16</v>
      </c>
      <c r="B15" s="0" t="s">
        <v>3303</v>
      </c>
      <c r="C15" s="0" t="s">
        <v>3304</v>
      </c>
      <c r="D15" s="0" t="s">
        <v>3318</v>
      </c>
      <c r="E15" s="0" t="s">
        <v>3319</v>
      </c>
      <c r="F15" s="0" t="s">
        <v>3307</v>
      </c>
      <c r="G15" s="0" t="s">
        <v>191</v>
      </c>
    </row>
    <row customHeight="1" ht="11.25">
      <c r="A16" s="0" t="s">
        <v>16</v>
      </c>
      <c r="B16" s="0" t="s">
        <v>3303</v>
      </c>
      <c r="C16" s="0" t="s">
        <v>3304</v>
      </c>
      <c r="D16" s="0" t="s">
        <v>3320</v>
      </c>
      <c r="E16" s="0" t="s">
        <v>3321</v>
      </c>
      <c r="F16" s="0" t="s">
        <v>3307</v>
      </c>
      <c r="G16" s="0" t="s">
        <v>1581</v>
      </c>
    </row>
    <row customHeight="1" ht="11.25">
      <c r="A17" s="0" t="s">
        <v>16</v>
      </c>
      <c r="B17" s="0" t="s">
        <v>119</v>
      </c>
      <c r="C17" s="0" t="s">
        <v>120</v>
      </c>
      <c r="D17" s="0" t="s">
        <v>119</v>
      </c>
      <c r="E17" s="0" t="s">
        <v>120</v>
      </c>
      <c r="F17" s="0" t="s">
        <v>3295</v>
      </c>
      <c r="G17" s="0" t="s">
        <v>118</v>
      </c>
    </row>
    <row customHeight="1" ht="11.25">
      <c r="A18" s="0" t="s">
        <v>16</v>
      </c>
      <c r="B18" s="0" t="s">
        <v>3322</v>
      </c>
      <c r="C18" s="0" t="s">
        <v>3323</v>
      </c>
      <c r="D18" s="0" t="s">
        <v>3324</v>
      </c>
      <c r="E18" s="0" t="s">
        <v>3325</v>
      </c>
      <c r="F18" s="0" t="s">
        <v>3307</v>
      </c>
      <c r="G18" s="0" t="s">
        <v>1598</v>
      </c>
    </row>
    <row customHeight="1" ht="11.25">
      <c r="A19" s="0" t="s">
        <v>16</v>
      </c>
      <c r="B19" s="0" t="s">
        <v>3322</v>
      </c>
      <c r="C19" s="0" t="s">
        <v>3323</v>
      </c>
      <c r="D19" s="0" t="s">
        <v>3326</v>
      </c>
      <c r="E19" s="0" t="s">
        <v>3327</v>
      </c>
      <c r="F19" s="0" t="s">
        <v>3328</v>
      </c>
      <c r="G19" s="0" t="s">
        <v>1612</v>
      </c>
    </row>
    <row customHeight="1" ht="11.25">
      <c r="A20" s="0" t="s">
        <v>16</v>
      </c>
      <c r="B20" s="0" t="s">
        <v>3322</v>
      </c>
      <c r="C20" s="0" t="s">
        <v>3323</v>
      </c>
      <c r="D20" s="0" t="s">
        <v>3322</v>
      </c>
      <c r="E20" s="0" t="s">
        <v>3323</v>
      </c>
      <c r="F20" s="0" t="s">
        <v>3308</v>
      </c>
      <c r="G20" s="0" t="s">
        <v>1624</v>
      </c>
    </row>
    <row customHeight="1" ht="11.25">
      <c r="A21" s="0" t="s">
        <v>16</v>
      </c>
      <c r="B21" s="0" t="s">
        <v>3322</v>
      </c>
      <c r="C21" s="0" t="s">
        <v>3323</v>
      </c>
      <c r="D21" s="0" t="s">
        <v>3329</v>
      </c>
      <c r="E21" s="0" t="s">
        <v>3330</v>
      </c>
      <c r="F21" s="0" t="s">
        <v>3328</v>
      </c>
      <c r="G21" s="0" t="s">
        <v>1633</v>
      </c>
    </row>
    <row customHeight="1" ht="11.25">
      <c r="A22" s="0" t="s">
        <v>16</v>
      </c>
      <c r="B22" s="0" t="s">
        <v>3322</v>
      </c>
      <c r="C22" s="0" t="s">
        <v>3323</v>
      </c>
      <c r="D22" s="0" t="s">
        <v>3331</v>
      </c>
      <c r="E22" s="0" t="s">
        <v>3332</v>
      </c>
      <c r="F22" s="0" t="s">
        <v>3307</v>
      </c>
      <c r="G22" s="0" t="s">
        <v>1649</v>
      </c>
    </row>
    <row customHeight="1" ht="11.25">
      <c r="A23" s="0" t="s">
        <v>16</v>
      </c>
      <c r="B23" s="0" t="s">
        <v>3322</v>
      </c>
      <c r="C23" s="0" t="s">
        <v>3323</v>
      </c>
      <c r="D23" s="0" t="s">
        <v>3333</v>
      </c>
      <c r="E23" s="0" t="s">
        <v>3334</v>
      </c>
      <c r="F23" s="0" t="s">
        <v>3313</v>
      </c>
      <c r="G23" s="0" t="s">
        <v>1656</v>
      </c>
    </row>
    <row customHeight="1" ht="11.25">
      <c r="A24" s="0" t="s">
        <v>16</v>
      </c>
      <c r="B24" s="0" t="s">
        <v>3322</v>
      </c>
      <c r="C24" s="0" t="s">
        <v>3323</v>
      </c>
      <c r="D24" s="0" t="s">
        <v>3335</v>
      </c>
      <c r="E24" s="0" t="s">
        <v>3336</v>
      </c>
      <c r="F24" s="0" t="s">
        <v>3307</v>
      </c>
      <c r="G24" s="0" t="s">
        <v>1664</v>
      </c>
    </row>
    <row customHeight="1" ht="11.25">
      <c r="A25" s="0" t="s">
        <v>16</v>
      </c>
      <c r="B25" s="0" t="s">
        <v>3322</v>
      </c>
      <c r="C25" s="0" t="s">
        <v>3323</v>
      </c>
      <c r="D25" s="0" t="s">
        <v>3337</v>
      </c>
      <c r="E25" s="0" t="s">
        <v>3338</v>
      </c>
      <c r="F25" s="0" t="s">
        <v>3307</v>
      </c>
      <c r="G25" s="0" t="s">
        <v>1671</v>
      </c>
    </row>
    <row customHeight="1" ht="11.25">
      <c r="A26" s="0" t="s">
        <v>16</v>
      </c>
      <c r="B26" s="0" t="s">
        <v>114</v>
      </c>
      <c r="C26" s="0" t="s">
        <v>115</v>
      </c>
      <c r="D26" s="0" t="s">
        <v>114</v>
      </c>
      <c r="E26" s="0" t="s">
        <v>115</v>
      </c>
      <c r="F26" s="0" t="s">
        <v>3295</v>
      </c>
      <c r="G26" s="0" t="s">
        <v>113</v>
      </c>
    </row>
    <row customHeight="1" ht="11.25">
      <c r="A27" s="0" t="s">
        <v>16</v>
      </c>
      <c r="B27" s="0" t="s">
        <v>3339</v>
      </c>
      <c r="C27" s="0" t="s">
        <v>3340</v>
      </c>
      <c r="D27" s="0" t="s">
        <v>3341</v>
      </c>
      <c r="E27" s="0" t="s">
        <v>3342</v>
      </c>
      <c r="F27" s="0" t="s">
        <v>3328</v>
      </c>
      <c r="G27" s="0" t="s">
        <v>1679</v>
      </c>
    </row>
    <row customHeight="1" ht="11.25">
      <c r="A28" s="0" t="s">
        <v>16</v>
      </c>
      <c r="B28" s="0" t="s">
        <v>3339</v>
      </c>
      <c r="C28" s="0" t="s">
        <v>3340</v>
      </c>
      <c r="D28" s="0" t="s">
        <v>3343</v>
      </c>
      <c r="E28" s="0" t="s">
        <v>3344</v>
      </c>
      <c r="F28" s="0" t="s">
        <v>3307</v>
      </c>
      <c r="G28" s="0" t="s">
        <v>1687</v>
      </c>
    </row>
    <row customHeight="1" ht="11.25">
      <c r="A29" s="0" t="s">
        <v>16</v>
      </c>
      <c r="B29" s="0" t="s">
        <v>3339</v>
      </c>
      <c r="C29" s="0" t="s">
        <v>3340</v>
      </c>
      <c r="D29" s="0" t="s">
        <v>3345</v>
      </c>
      <c r="E29" s="0" t="s">
        <v>3346</v>
      </c>
      <c r="F29" s="0" t="s">
        <v>3307</v>
      </c>
      <c r="G29" s="0" t="s">
        <v>1689</v>
      </c>
    </row>
    <row customHeight="1" ht="11.25">
      <c r="A30" s="0" t="s">
        <v>16</v>
      </c>
      <c r="B30" s="0" t="s">
        <v>3339</v>
      </c>
      <c r="C30" s="0" t="s">
        <v>3340</v>
      </c>
      <c r="D30" s="0" t="s">
        <v>3347</v>
      </c>
      <c r="E30" s="0" t="s">
        <v>3348</v>
      </c>
      <c r="F30" s="0" t="s">
        <v>3307</v>
      </c>
      <c r="G30" s="0" t="s">
        <v>1692</v>
      </c>
    </row>
    <row customHeight="1" ht="11.25">
      <c r="A31" s="0" t="s">
        <v>16</v>
      </c>
      <c r="B31" s="0" t="s">
        <v>3339</v>
      </c>
      <c r="C31" s="0" t="s">
        <v>3340</v>
      </c>
      <c r="D31" s="0" t="s">
        <v>3349</v>
      </c>
      <c r="E31" s="0" t="s">
        <v>3350</v>
      </c>
      <c r="F31" s="0" t="s">
        <v>3307</v>
      </c>
      <c r="G31" s="0" t="s">
        <v>1698</v>
      </c>
    </row>
    <row customHeight="1" ht="11.25">
      <c r="A32" s="0" t="s">
        <v>16</v>
      </c>
      <c r="B32" s="0" t="s">
        <v>3339</v>
      </c>
      <c r="C32" s="0" t="s">
        <v>3340</v>
      </c>
      <c r="D32" s="0" t="s">
        <v>3339</v>
      </c>
      <c r="E32" s="0" t="s">
        <v>3340</v>
      </c>
      <c r="F32" s="0" t="s">
        <v>3308</v>
      </c>
      <c r="G32" s="0" t="s">
        <v>1700</v>
      </c>
    </row>
    <row customHeight="1" ht="11.25">
      <c r="A33" s="0" t="s">
        <v>16</v>
      </c>
      <c r="B33" s="0" t="s">
        <v>3339</v>
      </c>
      <c r="C33" s="0" t="s">
        <v>3340</v>
      </c>
      <c r="D33" s="0" t="s">
        <v>3351</v>
      </c>
      <c r="E33" s="0" t="s">
        <v>3352</v>
      </c>
      <c r="F33" s="0" t="s">
        <v>3307</v>
      </c>
      <c r="G33" s="0" t="s">
        <v>1702</v>
      </c>
    </row>
    <row customHeight="1" ht="11.25">
      <c r="A34" s="0" t="s">
        <v>16</v>
      </c>
      <c r="B34" s="0" t="s">
        <v>3339</v>
      </c>
      <c r="C34" s="0" t="s">
        <v>3340</v>
      </c>
      <c r="D34" s="0" t="s">
        <v>3353</v>
      </c>
      <c r="E34" s="0" t="s">
        <v>3354</v>
      </c>
      <c r="F34" s="0" t="s">
        <v>3307</v>
      </c>
      <c r="G34" s="0" t="s">
        <v>1704</v>
      </c>
    </row>
    <row customHeight="1" ht="11.25">
      <c r="A35" s="0" t="s">
        <v>16</v>
      </c>
      <c r="B35" s="0" t="s">
        <v>3339</v>
      </c>
      <c r="C35" s="0" t="s">
        <v>3340</v>
      </c>
      <c r="D35" s="0" t="s">
        <v>3355</v>
      </c>
      <c r="E35" s="0" t="s">
        <v>3356</v>
      </c>
      <c r="F35" s="0" t="s">
        <v>3307</v>
      </c>
      <c r="G35" s="0" t="s">
        <v>1709</v>
      </c>
    </row>
    <row customHeight="1" ht="11.25">
      <c r="A36" s="0" t="s">
        <v>16</v>
      </c>
      <c r="B36" s="0" t="s">
        <v>3339</v>
      </c>
      <c r="C36" s="0" t="s">
        <v>3340</v>
      </c>
      <c r="D36" s="0" t="s">
        <v>3357</v>
      </c>
      <c r="E36" s="0" t="s">
        <v>3358</v>
      </c>
      <c r="F36" s="0" t="s">
        <v>3307</v>
      </c>
      <c r="G36" s="0" t="s">
        <v>1714</v>
      </c>
    </row>
    <row customHeight="1" ht="11.25">
      <c r="A37" s="0" t="s">
        <v>16</v>
      </c>
      <c r="B37" s="0" t="s">
        <v>3339</v>
      </c>
      <c r="C37" s="0" t="s">
        <v>3340</v>
      </c>
      <c r="D37" s="0" t="s">
        <v>3359</v>
      </c>
      <c r="E37" s="0" t="s">
        <v>3360</v>
      </c>
      <c r="F37" s="0" t="s">
        <v>3307</v>
      </c>
      <c r="G37" s="0" t="s">
        <v>1718</v>
      </c>
    </row>
    <row customHeight="1" ht="11.25">
      <c r="A38" s="0" t="s">
        <v>16</v>
      </c>
      <c r="B38" s="0" t="s">
        <v>3361</v>
      </c>
      <c r="C38" s="0" t="s">
        <v>3362</v>
      </c>
      <c r="D38" s="0" t="s">
        <v>3361</v>
      </c>
      <c r="E38" s="0" t="s">
        <v>3362</v>
      </c>
      <c r="F38" s="0" t="s">
        <v>3295</v>
      </c>
      <c r="G38" s="0" t="s">
        <v>1726</v>
      </c>
    </row>
    <row customHeight="1" ht="11.25">
      <c r="A39" s="0" t="s">
        <v>16</v>
      </c>
      <c r="B39" s="0" t="s">
        <v>3363</v>
      </c>
      <c r="C39" s="0" t="s">
        <v>3364</v>
      </c>
      <c r="D39" s="0" t="s">
        <v>3363</v>
      </c>
      <c r="E39" s="0" t="s">
        <v>3364</v>
      </c>
      <c r="F39" s="0" t="s">
        <v>3298</v>
      </c>
      <c r="G39" s="0" t="s">
        <v>1732</v>
      </c>
    </row>
    <row customHeight="1" ht="11.25">
      <c r="A40" s="0" t="s">
        <v>16</v>
      </c>
      <c r="B40" s="0" t="s">
        <v>126</v>
      </c>
      <c r="C40" s="0" t="s">
        <v>3365</v>
      </c>
      <c r="D40" s="0" t="s">
        <v>3366</v>
      </c>
      <c r="E40" s="0" t="s">
        <v>3367</v>
      </c>
      <c r="F40" s="0" t="s">
        <v>3307</v>
      </c>
      <c r="G40" s="0" t="s">
        <v>1737</v>
      </c>
    </row>
    <row customHeight="1" ht="11.25">
      <c r="A41" s="0" t="s">
        <v>16</v>
      </c>
      <c r="B41" s="0" t="s">
        <v>126</v>
      </c>
      <c r="C41" s="0" t="s">
        <v>3365</v>
      </c>
      <c r="D41" s="0" t="s">
        <v>3368</v>
      </c>
      <c r="E41" s="0" t="s">
        <v>3369</v>
      </c>
      <c r="F41" s="0" t="s">
        <v>3307</v>
      </c>
      <c r="G41" s="0" t="s">
        <v>1741</v>
      </c>
    </row>
    <row customHeight="1" ht="11.25">
      <c r="A42" s="0" t="s">
        <v>16</v>
      </c>
      <c r="B42" s="0" t="s">
        <v>126</v>
      </c>
      <c r="C42" s="0" t="s">
        <v>3365</v>
      </c>
      <c r="D42" s="0" t="s">
        <v>3370</v>
      </c>
      <c r="E42" s="0" t="s">
        <v>3371</v>
      </c>
      <c r="F42" s="0" t="s">
        <v>3307</v>
      </c>
      <c r="G42" s="0" t="s">
        <v>1744</v>
      </c>
    </row>
    <row customHeight="1" ht="11.25">
      <c r="A43" s="0" t="s">
        <v>16</v>
      </c>
      <c r="B43" s="0" t="s">
        <v>126</v>
      </c>
      <c r="C43" s="0" t="s">
        <v>3365</v>
      </c>
      <c r="D43" s="0" t="s">
        <v>126</v>
      </c>
      <c r="E43" s="0" t="s">
        <v>3365</v>
      </c>
      <c r="F43" s="0" t="s">
        <v>3308</v>
      </c>
      <c r="G43" s="0" t="s">
        <v>1751</v>
      </c>
    </row>
    <row customHeight="1" ht="11.25">
      <c r="A44" s="0" t="s">
        <v>16</v>
      </c>
      <c r="B44" s="0" t="s">
        <v>126</v>
      </c>
      <c r="C44" s="0" t="s">
        <v>3365</v>
      </c>
      <c r="D44" s="0" t="s">
        <v>3372</v>
      </c>
      <c r="E44" s="0" t="s">
        <v>3373</v>
      </c>
      <c r="F44" s="0" t="s">
        <v>3307</v>
      </c>
      <c r="G44" s="0" t="s">
        <v>1760</v>
      </c>
    </row>
    <row customHeight="1" ht="11.25">
      <c r="A45" s="0" t="s">
        <v>16</v>
      </c>
      <c r="B45" s="0" t="s">
        <v>126</v>
      </c>
      <c r="C45" s="0" t="s">
        <v>3365</v>
      </c>
      <c r="D45" s="0" t="s">
        <v>127</v>
      </c>
      <c r="E45" s="0" t="s">
        <v>128</v>
      </c>
      <c r="F45" s="0" t="s">
        <v>3328</v>
      </c>
      <c r="G45" s="0" t="s">
        <v>125</v>
      </c>
    </row>
    <row customHeight="1" ht="11.25">
      <c r="A46" s="0" t="s">
        <v>16</v>
      </c>
      <c r="B46" s="0" t="s">
        <v>126</v>
      </c>
      <c r="C46" s="0" t="s">
        <v>3365</v>
      </c>
      <c r="D46" s="0" t="s">
        <v>3374</v>
      </c>
      <c r="E46" s="0" t="s">
        <v>3375</v>
      </c>
      <c r="F46" s="0" t="s">
        <v>3307</v>
      </c>
      <c r="G46" s="0" t="s">
        <v>1768</v>
      </c>
    </row>
    <row customHeight="1" ht="11.25">
      <c r="A47" s="0" t="s">
        <v>16</v>
      </c>
      <c r="B47" s="0" t="s">
        <v>126</v>
      </c>
      <c r="C47" s="0" t="s">
        <v>3365</v>
      </c>
      <c r="D47" s="0" t="s">
        <v>3376</v>
      </c>
      <c r="E47" s="0" t="s">
        <v>3377</v>
      </c>
      <c r="F47" s="0" t="s">
        <v>3307</v>
      </c>
      <c r="G47" s="0" t="s">
        <v>1774</v>
      </c>
    </row>
    <row customHeight="1" ht="11.25">
      <c r="A48" s="0" t="s">
        <v>16</v>
      </c>
      <c r="B48" s="0" t="s">
        <v>3378</v>
      </c>
      <c r="C48" s="0" t="s">
        <v>3379</v>
      </c>
      <c r="D48" s="0" t="s">
        <v>3378</v>
      </c>
      <c r="E48" s="0" t="s">
        <v>3379</v>
      </c>
      <c r="F48" s="0" t="s">
        <v>3308</v>
      </c>
      <c r="G48" s="0" t="s">
        <v>1778</v>
      </c>
    </row>
    <row customHeight="1" ht="11.25">
      <c r="A49" s="0" t="s">
        <v>16</v>
      </c>
      <c r="B49" s="0" t="s">
        <v>3378</v>
      </c>
      <c r="C49" s="0" t="s">
        <v>3379</v>
      </c>
      <c r="D49" s="0" t="s">
        <v>3380</v>
      </c>
      <c r="E49" s="0" t="s">
        <v>3381</v>
      </c>
      <c r="F49" s="0" t="s">
        <v>3307</v>
      </c>
      <c r="G49" s="0" t="s">
        <v>1781</v>
      </c>
    </row>
    <row customHeight="1" ht="11.25">
      <c r="A50" s="0" t="s">
        <v>16</v>
      </c>
      <c r="B50" s="0" t="s">
        <v>3378</v>
      </c>
      <c r="C50" s="0" t="s">
        <v>3379</v>
      </c>
      <c r="D50" s="0" t="s">
        <v>3382</v>
      </c>
      <c r="E50" s="0" t="s">
        <v>3383</v>
      </c>
      <c r="F50" s="0" t="s">
        <v>3307</v>
      </c>
      <c r="G50" s="0" t="s">
        <v>1784</v>
      </c>
    </row>
    <row customHeight="1" ht="11.25">
      <c r="A51" s="0" t="s">
        <v>16</v>
      </c>
      <c r="B51" s="0" t="s">
        <v>3378</v>
      </c>
      <c r="C51" s="0" t="s">
        <v>3379</v>
      </c>
      <c r="D51" s="0" t="s">
        <v>3384</v>
      </c>
      <c r="E51" s="0" t="s">
        <v>3385</v>
      </c>
      <c r="F51" s="0" t="s">
        <v>3307</v>
      </c>
      <c r="G51" s="0" t="s">
        <v>1789</v>
      </c>
    </row>
    <row customHeight="1" ht="11.25">
      <c r="A52" s="0" t="s">
        <v>16</v>
      </c>
      <c r="B52" s="0" t="s">
        <v>3386</v>
      </c>
      <c r="C52" s="0" t="s">
        <v>3387</v>
      </c>
      <c r="D52" s="0" t="s">
        <v>3386</v>
      </c>
      <c r="E52" s="0" t="s">
        <v>3387</v>
      </c>
      <c r="F52" s="0" t="s">
        <v>3298</v>
      </c>
      <c r="G52" s="0" t="s">
        <v>1793</v>
      </c>
    </row>
    <row customHeight="1" ht="11.25">
      <c r="A53" s="0" t="s">
        <v>16</v>
      </c>
      <c r="B53" s="0" t="s">
        <v>3388</v>
      </c>
      <c r="C53" s="0" t="s">
        <v>3389</v>
      </c>
      <c r="D53" s="0" t="s">
        <v>3388</v>
      </c>
      <c r="E53" s="0" t="s">
        <v>3389</v>
      </c>
      <c r="F53" s="0" t="s">
        <v>3295</v>
      </c>
      <c r="G53" s="0" t="s">
        <v>1795</v>
      </c>
    </row>
    <row customHeight="1" ht="11.25">
      <c r="A54" s="0" t="s">
        <v>16</v>
      </c>
      <c r="B54" s="0" t="s">
        <v>3390</v>
      </c>
      <c r="C54" s="0" t="s">
        <v>3391</v>
      </c>
      <c r="D54" s="0" t="s">
        <v>3390</v>
      </c>
      <c r="E54" s="0" t="s">
        <v>3391</v>
      </c>
      <c r="F54" s="0" t="s">
        <v>3295</v>
      </c>
      <c r="G54" s="0" t="s">
        <v>1798</v>
      </c>
    </row>
    <row customHeight="1" ht="11.25">
      <c r="A55" s="0" t="s">
        <v>16</v>
      </c>
      <c r="B55" s="0" t="s">
        <v>3392</v>
      </c>
      <c r="C55" s="0" t="s">
        <v>3393</v>
      </c>
      <c r="D55" s="0" t="s">
        <v>3392</v>
      </c>
      <c r="E55" s="0" t="s">
        <v>3393</v>
      </c>
      <c r="F55" s="0" t="s">
        <v>3298</v>
      </c>
      <c r="G55" s="0" t="s">
        <v>1803</v>
      </c>
    </row>
    <row customHeight="1" ht="11.25">
      <c r="A56" s="0" t="s">
        <v>16</v>
      </c>
      <c r="B56" s="0" t="s">
        <v>3394</v>
      </c>
      <c r="C56" s="0" t="s">
        <v>3395</v>
      </c>
      <c r="D56" s="0" t="s">
        <v>3394</v>
      </c>
      <c r="E56" s="0" t="s">
        <v>3395</v>
      </c>
      <c r="F56" s="0" t="s">
        <v>3295</v>
      </c>
      <c r="G56" s="0" t="s">
        <v>1806</v>
      </c>
    </row>
    <row customHeight="1" ht="11.25">
      <c r="A57" s="0" t="s">
        <v>16</v>
      </c>
      <c r="B57" s="0" t="s">
        <v>3396</v>
      </c>
      <c r="C57" s="0" t="s">
        <v>3397</v>
      </c>
      <c r="D57" s="0" t="s">
        <v>3398</v>
      </c>
      <c r="E57" s="0" t="s">
        <v>3399</v>
      </c>
      <c r="F57" s="0" t="s">
        <v>3307</v>
      </c>
      <c r="G57" s="0" t="s">
        <v>1809</v>
      </c>
    </row>
    <row customHeight="1" ht="11.25">
      <c r="A58" s="0" t="s">
        <v>16</v>
      </c>
      <c r="B58" s="0" t="s">
        <v>3396</v>
      </c>
      <c r="C58" s="0" t="s">
        <v>3397</v>
      </c>
      <c r="D58" s="0" t="s">
        <v>3400</v>
      </c>
      <c r="E58" s="0" t="s">
        <v>3401</v>
      </c>
      <c r="F58" s="0" t="s">
        <v>3307</v>
      </c>
      <c r="G58" s="0" t="s">
        <v>1812</v>
      </c>
    </row>
    <row customHeight="1" ht="11.25">
      <c r="A59" s="0" t="s">
        <v>16</v>
      </c>
      <c r="B59" s="0" t="s">
        <v>3396</v>
      </c>
      <c r="C59" s="0" t="s">
        <v>3397</v>
      </c>
      <c r="D59" s="0" t="s">
        <v>3402</v>
      </c>
      <c r="E59" s="0" t="s">
        <v>3403</v>
      </c>
      <c r="F59" s="0" t="s">
        <v>3307</v>
      </c>
      <c r="G59" s="0" t="s">
        <v>1816</v>
      </c>
    </row>
    <row customHeight="1" ht="11.25">
      <c r="A60" s="0" t="s">
        <v>16</v>
      </c>
      <c r="B60" s="0" t="s">
        <v>3396</v>
      </c>
      <c r="C60" s="0" t="s">
        <v>3397</v>
      </c>
      <c r="D60" s="0" t="s">
        <v>3404</v>
      </c>
      <c r="E60" s="0" t="s">
        <v>3405</v>
      </c>
      <c r="F60" s="0" t="s">
        <v>3313</v>
      </c>
      <c r="G60" s="0" t="s">
        <v>1819</v>
      </c>
    </row>
    <row customHeight="1" ht="11.25">
      <c r="A61" s="0" t="s">
        <v>16</v>
      </c>
      <c r="B61" s="0" t="s">
        <v>3396</v>
      </c>
      <c r="C61" s="0" t="s">
        <v>3397</v>
      </c>
      <c r="D61" s="0" t="s">
        <v>3406</v>
      </c>
      <c r="E61" s="0" t="s">
        <v>3407</v>
      </c>
      <c r="F61" s="0" t="s">
        <v>3307</v>
      </c>
      <c r="G61" s="0" t="s">
        <v>3408</v>
      </c>
    </row>
    <row customHeight="1" ht="11.25">
      <c r="A62" s="0" t="s">
        <v>16</v>
      </c>
      <c r="B62" s="0" t="s">
        <v>3396</v>
      </c>
      <c r="C62" s="0" t="s">
        <v>3397</v>
      </c>
      <c r="D62" s="0" t="s">
        <v>3409</v>
      </c>
      <c r="E62" s="0" t="s">
        <v>3410</v>
      </c>
      <c r="F62" s="0" t="s">
        <v>3307</v>
      </c>
      <c r="G62" s="0" t="s">
        <v>3411</v>
      </c>
    </row>
    <row customHeight="1" ht="11.25">
      <c r="A63" s="0" t="s">
        <v>16</v>
      </c>
      <c r="B63" s="0" t="s">
        <v>3396</v>
      </c>
      <c r="C63" s="0" t="s">
        <v>3397</v>
      </c>
      <c r="D63" s="0" t="s">
        <v>3396</v>
      </c>
      <c r="E63" s="0" t="s">
        <v>3397</v>
      </c>
      <c r="F63" s="0" t="s">
        <v>3308</v>
      </c>
      <c r="G63" s="0" t="s">
        <v>3412</v>
      </c>
    </row>
    <row customHeight="1" ht="11.25">
      <c r="A64" s="0" t="s">
        <v>16</v>
      </c>
      <c r="B64" s="0" t="s">
        <v>3396</v>
      </c>
      <c r="C64" s="0" t="s">
        <v>3397</v>
      </c>
      <c r="D64" s="0" t="s">
        <v>3413</v>
      </c>
      <c r="E64" s="0" t="s">
        <v>3414</v>
      </c>
      <c r="F64" s="0" t="s">
        <v>3307</v>
      </c>
      <c r="G64" s="0" t="s">
        <v>3415</v>
      </c>
    </row>
    <row customHeight="1" ht="11.25">
      <c r="A65" s="0" t="s">
        <v>16</v>
      </c>
      <c r="B65" s="0" t="s">
        <v>3416</v>
      </c>
      <c r="C65" s="0" t="s">
        <v>3417</v>
      </c>
      <c r="D65" s="0" t="s">
        <v>3416</v>
      </c>
      <c r="E65" s="0" t="s">
        <v>3417</v>
      </c>
      <c r="F65" s="0" t="s">
        <v>3295</v>
      </c>
      <c r="G65" s="0" t="s">
        <v>3418</v>
      </c>
    </row>
    <row customHeight="1" ht="11.25">
      <c r="A66" s="0" t="s">
        <v>16</v>
      </c>
      <c r="B66" s="0" t="s">
        <v>3419</v>
      </c>
      <c r="C66" s="0" t="s">
        <v>3420</v>
      </c>
      <c r="D66" s="0" t="s">
        <v>3419</v>
      </c>
      <c r="E66" s="0" t="s">
        <v>3420</v>
      </c>
      <c r="F66" s="0" t="s">
        <v>3295</v>
      </c>
      <c r="G66" s="0" t="s">
        <v>3421</v>
      </c>
    </row>
    <row customHeight="1" ht="11.25">
      <c r="A67" s="0" t="s">
        <v>16</v>
      </c>
      <c r="B67" s="0" t="s">
        <v>3422</v>
      </c>
      <c r="C67" s="0" t="s">
        <v>3423</v>
      </c>
      <c r="D67" s="0" t="s">
        <v>3424</v>
      </c>
      <c r="E67" s="0" t="s">
        <v>3425</v>
      </c>
      <c r="F67" s="0" t="s">
        <v>3307</v>
      </c>
      <c r="G67" s="0" t="s">
        <v>2138</v>
      </c>
    </row>
    <row customHeight="1" ht="11.25">
      <c r="A68" s="0" t="s">
        <v>16</v>
      </c>
      <c r="B68" s="0" t="s">
        <v>3422</v>
      </c>
      <c r="C68" s="0" t="s">
        <v>3423</v>
      </c>
      <c r="D68" s="0" t="s">
        <v>3426</v>
      </c>
      <c r="E68" s="0" t="s">
        <v>3427</v>
      </c>
      <c r="F68" s="0" t="s">
        <v>3307</v>
      </c>
      <c r="G68" s="0" t="s">
        <v>3428</v>
      </c>
    </row>
    <row customHeight="1" ht="11.25">
      <c r="A69" s="0" t="s">
        <v>16</v>
      </c>
      <c r="B69" s="0" t="s">
        <v>3422</v>
      </c>
      <c r="C69" s="0" t="s">
        <v>3423</v>
      </c>
      <c r="D69" s="0" t="s">
        <v>3429</v>
      </c>
      <c r="E69" s="0" t="s">
        <v>3430</v>
      </c>
      <c r="F69" s="0" t="s">
        <v>3307</v>
      </c>
      <c r="G69" s="0" t="s">
        <v>2341</v>
      </c>
    </row>
    <row customHeight="1" ht="11.25">
      <c r="A70" s="0" t="s">
        <v>16</v>
      </c>
      <c r="B70" s="0" t="s">
        <v>3422</v>
      </c>
      <c r="C70" s="0" t="s">
        <v>3423</v>
      </c>
      <c r="D70" s="0" t="s">
        <v>3431</v>
      </c>
      <c r="E70" s="0" t="s">
        <v>3432</v>
      </c>
      <c r="F70" s="0" t="s">
        <v>3307</v>
      </c>
      <c r="G70" s="0" t="s">
        <v>3433</v>
      </c>
    </row>
    <row customHeight="1" ht="11.25">
      <c r="A71" s="0" t="s">
        <v>16</v>
      </c>
      <c r="B71" s="0" t="s">
        <v>3422</v>
      </c>
      <c r="C71" s="0" t="s">
        <v>3423</v>
      </c>
      <c r="D71" s="0" t="s">
        <v>3434</v>
      </c>
      <c r="E71" s="0" t="s">
        <v>3435</v>
      </c>
      <c r="F71" s="0" t="s">
        <v>3307</v>
      </c>
      <c r="G71" s="0" t="s">
        <v>3436</v>
      </c>
    </row>
    <row customHeight="1" ht="11.25">
      <c r="A72" s="0" t="s">
        <v>16</v>
      </c>
      <c r="B72" s="0" t="s">
        <v>3422</v>
      </c>
      <c r="C72" s="0" t="s">
        <v>3423</v>
      </c>
      <c r="D72" s="0" t="s">
        <v>3422</v>
      </c>
      <c r="E72" s="0" t="s">
        <v>3423</v>
      </c>
      <c r="F72" s="0" t="s">
        <v>3308</v>
      </c>
      <c r="G72" s="0" t="s">
        <v>3437</v>
      </c>
    </row>
    <row customHeight="1" ht="11.25">
      <c r="A73" s="0" t="s">
        <v>16</v>
      </c>
      <c r="B73" s="0" t="s">
        <v>3422</v>
      </c>
      <c r="C73" s="0" t="s">
        <v>3423</v>
      </c>
      <c r="D73" s="0" t="s">
        <v>3438</v>
      </c>
      <c r="E73" s="0" t="s">
        <v>3439</v>
      </c>
      <c r="F73" s="0" t="s">
        <v>3307</v>
      </c>
      <c r="G73" s="0" t="s">
        <v>3440</v>
      </c>
    </row>
    <row customHeight="1" ht="11.25">
      <c r="A74" s="0" t="s">
        <v>16</v>
      </c>
      <c r="B74" s="0" t="s">
        <v>3422</v>
      </c>
      <c r="C74" s="0" t="s">
        <v>3423</v>
      </c>
      <c r="D74" s="0" t="s">
        <v>3441</v>
      </c>
      <c r="E74" s="0" t="s">
        <v>3442</v>
      </c>
      <c r="F74" s="0" t="s">
        <v>3307</v>
      </c>
      <c r="G74" s="0" t="s">
        <v>3443</v>
      </c>
    </row>
    <row customHeight="1" ht="11.25">
      <c r="A75" s="0" t="s">
        <v>16</v>
      </c>
      <c r="B75" s="0" t="s">
        <v>3422</v>
      </c>
      <c r="C75" s="0" t="s">
        <v>3423</v>
      </c>
      <c r="D75" s="0" t="s">
        <v>3444</v>
      </c>
      <c r="E75" s="0" t="s">
        <v>3445</v>
      </c>
      <c r="F75" s="0" t="s">
        <v>3307</v>
      </c>
      <c r="G75" s="0" t="s">
        <v>3446</v>
      </c>
    </row>
    <row customHeight="1" ht="11.25">
      <c r="A76" s="0" t="s">
        <v>16</v>
      </c>
      <c r="B76" s="0" t="s">
        <v>3447</v>
      </c>
      <c r="C76" s="0" t="s">
        <v>3448</v>
      </c>
      <c r="D76" s="0" t="s">
        <v>3447</v>
      </c>
      <c r="E76" s="0" t="s">
        <v>3448</v>
      </c>
      <c r="F76" s="0" t="s">
        <v>3295</v>
      </c>
      <c r="G76" s="0" t="s">
        <v>3449</v>
      </c>
    </row>
    <row customHeight="1" ht="11.25">
      <c r="A77" s="0" t="s">
        <v>16</v>
      </c>
      <c r="B77" s="0" t="s">
        <v>3450</v>
      </c>
      <c r="C77" s="0" t="s">
        <v>3451</v>
      </c>
      <c r="D77" s="0" t="s">
        <v>3450</v>
      </c>
      <c r="E77" s="0" t="s">
        <v>3451</v>
      </c>
      <c r="F77" s="0" t="s">
        <v>3298</v>
      </c>
      <c r="G77" s="0" t="s">
        <v>3452</v>
      </c>
    </row>
    <row customHeight="1" ht="11.25">
      <c r="A78" s="0" t="s">
        <v>16</v>
      </c>
      <c r="B78" s="0" t="s">
        <v>3453</v>
      </c>
      <c r="C78" s="0" t="s">
        <v>3454</v>
      </c>
      <c r="D78" s="0" t="s">
        <v>3453</v>
      </c>
      <c r="E78" s="0" t="s">
        <v>3454</v>
      </c>
      <c r="F78" s="0" t="s">
        <v>3295</v>
      </c>
      <c r="G78" s="0" t="s">
        <v>3455</v>
      </c>
    </row>
    <row customHeight="1" ht="11.25">
      <c r="A79" s="0" t="s">
        <v>16</v>
      </c>
      <c r="B79" s="0" t="s">
        <v>100</v>
      </c>
      <c r="C79" s="0" t="s">
        <v>101</v>
      </c>
      <c r="D79" s="0" t="s">
        <v>100</v>
      </c>
      <c r="E79" s="0" t="s">
        <v>101</v>
      </c>
      <c r="F79" s="0" t="s">
        <v>3295</v>
      </c>
      <c r="G79" s="0" t="s">
        <v>99</v>
      </c>
    </row>
    <row customHeight="1" ht="11.25">
      <c r="A80" s="0" t="s">
        <v>16</v>
      </c>
      <c r="B80" s="0" t="s">
        <v>3456</v>
      </c>
      <c r="C80" s="0" t="s">
        <v>3457</v>
      </c>
      <c r="D80" s="0" t="s">
        <v>3456</v>
      </c>
      <c r="E80" s="0" t="s">
        <v>3457</v>
      </c>
      <c r="F80" s="0" t="s">
        <v>3295</v>
      </c>
      <c r="G80" s="0" t="s">
        <v>3458</v>
      </c>
    </row>
    <row customHeight="1" ht="11.25">
      <c r="A81" s="0" t="s">
        <v>16</v>
      </c>
      <c r="B81" s="0" t="s">
        <v>3459</v>
      </c>
      <c r="C81" s="0" t="s">
        <v>3460</v>
      </c>
      <c r="D81" s="0" t="s">
        <v>3461</v>
      </c>
      <c r="E81" s="0" t="s">
        <v>3462</v>
      </c>
      <c r="F81" s="0" t="s">
        <v>3307</v>
      </c>
      <c r="G81" s="0" t="s">
        <v>3463</v>
      </c>
    </row>
    <row customHeight="1" ht="11.25">
      <c r="A82" s="0" t="s">
        <v>16</v>
      </c>
      <c r="B82" s="0" t="s">
        <v>3459</v>
      </c>
      <c r="C82" s="0" t="s">
        <v>3460</v>
      </c>
      <c r="D82" s="0" t="s">
        <v>3464</v>
      </c>
      <c r="E82" s="0" t="s">
        <v>3465</v>
      </c>
      <c r="F82" s="0" t="s">
        <v>3313</v>
      </c>
      <c r="G82" s="0" t="s">
        <v>3466</v>
      </c>
    </row>
    <row customHeight="1" ht="11.25">
      <c r="A83" s="0" t="s">
        <v>16</v>
      </c>
      <c r="B83" s="0" t="s">
        <v>3459</v>
      </c>
      <c r="C83" s="0" t="s">
        <v>3460</v>
      </c>
      <c r="D83" s="0" t="s">
        <v>3467</v>
      </c>
      <c r="E83" s="0" t="s">
        <v>3468</v>
      </c>
      <c r="F83" s="0" t="s">
        <v>3307</v>
      </c>
      <c r="G83" s="0" t="s">
        <v>3469</v>
      </c>
    </row>
    <row customHeight="1" ht="11.25">
      <c r="A84" s="0" t="s">
        <v>16</v>
      </c>
      <c r="B84" s="0" t="s">
        <v>3459</v>
      </c>
      <c r="C84" s="0" t="s">
        <v>3460</v>
      </c>
      <c r="D84" s="0" t="s">
        <v>3470</v>
      </c>
      <c r="E84" s="0" t="s">
        <v>3471</v>
      </c>
      <c r="F84" s="0" t="s">
        <v>3328</v>
      </c>
      <c r="G84" s="0" t="s">
        <v>3472</v>
      </c>
    </row>
    <row customHeight="1" ht="11.25">
      <c r="A85" s="0" t="s">
        <v>16</v>
      </c>
      <c r="B85" s="0" t="s">
        <v>3459</v>
      </c>
      <c r="C85" s="0" t="s">
        <v>3460</v>
      </c>
      <c r="D85" s="0" t="s">
        <v>3473</v>
      </c>
      <c r="E85" s="0" t="s">
        <v>3474</v>
      </c>
      <c r="F85" s="0" t="s">
        <v>3307</v>
      </c>
      <c r="G85" s="0" t="s">
        <v>3475</v>
      </c>
    </row>
    <row customHeight="1" ht="11.25">
      <c r="A86" s="0" t="s">
        <v>16</v>
      </c>
      <c r="B86" s="0" t="s">
        <v>3459</v>
      </c>
      <c r="C86" s="0" t="s">
        <v>3460</v>
      </c>
      <c r="D86" s="0" t="s">
        <v>3459</v>
      </c>
      <c r="E86" s="0" t="s">
        <v>3460</v>
      </c>
      <c r="F86" s="0" t="s">
        <v>3308</v>
      </c>
      <c r="G86" s="0" t="s">
        <v>3476</v>
      </c>
    </row>
    <row customHeight="1" ht="11.25">
      <c r="A87" s="0" t="s">
        <v>16</v>
      </c>
      <c r="B87" s="0" t="s">
        <v>3459</v>
      </c>
      <c r="C87" s="0" t="s">
        <v>3460</v>
      </c>
      <c r="D87" s="0" t="s">
        <v>3477</v>
      </c>
      <c r="E87" s="0" t="s">
        <v>3478</v>
      </c>
      <c r="F87" s="0" t="s">
        <v>3307</v>
      </c>
      <c r="G87" s="0" t="s">
        <v>3479</v>
      </c>
    </row>
    <row customHeight="1" ht="11.25">
      <c r="A88" s="0" t="s">
        <v>16</v>
      </c>
      <c r="B88" s="0" t="s">
        <v>3480</v>
      </c>
      <c r="C88" s="0" t="s">
        <v>3481</v>
      </c>
      <c r="D88" s="0" t="s">
        <v>3480</v>
      </c>
      <c r="E88" s="0" t="s">
        <v>3481</v>
      </c>
      <c r="F88" s="0" t="s">
        <v>3295</v>
      </c>
      <c r="G88" s="0" t="s">
        <v>3482</v>
      </c>
    </row>
    <row customHeight="1" ht="11.25">
      <c r="A89" s="0" t="s">
        <v>16</v>
      </c>
      <c r="B89" s="0" t="s">
        <v>107</v>
      </c>
      <c r="C89" s="0" t="s">
        <v>108</v>
      </c>
      <c r="D89" s="0" t="s">
        <v>107</v>
      </c>
      <c r="E89" s="0" t="s">
        <v>108</v>
      </c>
      <c r="F89" s="0" t="s">
        <v>3295</v>
      </c>
      <c r="G89" s="0" t="s">
        <v>106</v>
      </c>
    </row>
    <row customHeight="1" ht="11.25">
      <c r="A90" s="0" t="s">
        <v>16</v>
      </c>
      <c r="B90" s="0" t="s">
        <v>3483</v>
      </c>
      <c r="C90" s="0" t="s">
        <v>3484</v>
      </c>
      <c r="D90" s="0" t="s">
        <v>3485</v>
      </c>
      <c r="E90" s="0" t="s">
        <v>3486</v>
      </c>
      <c r="F90" s="0" t="s">
        <v>3307</v>
      </c>
      <c r="G90" s="0" t="s">
        <v>3487</v>
      </c>
    </row>
    <row customHeight="1" ht="11.25">
      <c r="A91" s="0" t="s">
        <v>16</v>
      </c>
      <c r="B91" s="0" t="s">
        <v>3483</v>
      </c>
      <c r="C91" s="0" t="s">
        <v>3484</v>
      </c>
      <c r="D91" s="0" t="s">
        <v>3488</v>
      </c>
      <c r="E91" s="0" t="s">
        <v>3489</v>
      </c>
      <c r="F91" s="0" t="s">
        <v>3307</v>
      </c>
      <c r="G91" s="0" t="s">
        <v>3490</v>
      </c>
    </row>
    <row customHeight="1" ht="11.25">
      <c r="A92" s="0" t="s">
        <v>16</v>
      </c>
      <c r="B92" s="0" t="s">
        <v>3483</v>
      </c>
      <c r="C92" s="0" t="s">
        <v>3484</v>
      </c>
      <c r="D92" s="0" t="s">
        <v>3491</v>
      </c>
      <c r="E92" s="0" t="s">
        <v>3492</v>
      </c>
      <c r="F92" s="0" t="s">
        <v>3307</v>
      </c>
      <c r="G92" s="0" t="s">
        <v>3493</v>
      </c>
    </row>
    <row customHeight="1" ht="11.25">
      <c r="A93" s="0" t="s">
        <v>16</v>
      </c>
      <c r="B93" s="0" t="s">
        <v>3483</v>
      </c>
      <c r="C93" s="0" t="s">
        <v>3484</v>
      </c>
      <c r="D93" s="0" t="s">
        <v>3494</v>
      </c>
      <c r="E93" s="0" t="s">
        <v>3495</v>
      </c>
      <c r="F93" s="0" t="s">
        <v>3328</v>
      </c>
      <c r="G93" s="0" t="s">
        <v>3496</v>
      </c>
    </row>
    <row customHeight="1" ht="11.25">
      <c r="A94" s="0" t="s">
        <v>16</v>
      </c>
      <c r="B94" s="0" t="s">
        <v>3483</v>
      </c>
      <c r="C94" s="0" t="s">
        <v>3484</v>
      </c>
      <c r="D94" s="0" t="s">
        <v>3497</v>
      </c>
      <c r="E94" s="0" t="s">
        <v>3498</v>
      </c>
      <c r="F94" s="0" t="s">
        <v>3307</v>
      </c>
      <c r="G94" s="0" t="s">
        <v>3499</v>
      </c>
    </row>
    <row customHeight="1" ht="11.25">
      <c r="A95" s="0" t="s">
        <v>16</v>
      </c>
      <c r="B95" s="0" t="s">
        <v>3483</v>
      </c>
      <c r="C95" s="0" t="s">
        <v>3484</v>
      </c>
      <c r="D95" s="0" t="s">
        <v>3483</v>
      </c>
      <c r="E95" s="0" t="s">
        <v>3484</v>
      </c>
      <c r="F95" s="0" t="s">
        <v>3308</v>
      </c>
      <c r="G95" s="0" t="s">
        <v>3500</v>
      </c>
    </row>
    <row customHeight="1" ht="11.25">
      <c r="A96" s="0" t="s">
        <v>16</v>
      </c>
      <c r="B96" s="0" t="s">
        <v>3483</v>
      </c>
      <c r="C96" s="0" t="s">
        <v>3484</v>
      </c>
      <c r="D96" s="0" t="s">
        <v>3501</v>
      </c>
      <c r="E96" s="0" t="s">
        <v>3502</v>
      </c>
      <c r="F96" s="0" t="s">
        <v>3328</v>
      </c>
      <c r="G96" s="0" t="s">
        <v>3503</v>
      </c>
    </row>
    <row customHeight="1" ht="11.25">
      <c r="A97" s="0" t="s">
        <v>16</v>
      </c>
      <c r="B97" s="0" t="s">
        <v>3483</v>
      </c>
      <c r="C97" s="0" t="s">
        <v>3484</v>
      </c>
      <c r="D97" s="0" t="s">
        <v>3504</v>
      </c>
      <c r="E97" s="0" t="s">
        <v>3505</v>
      </c>
      <c r="F97" s="0" t="s">
        <v>3307</v>
      </c>
      <c r="G97" s="0" t="s">
        <v>3506</v>
      </c>
    </row>
    <row customHeight="1" ht="11.25">
      <c r="A98" s="0" t="s">
        <v>16</v>
      </c>
      <c r="B98" s="0" t="s">
        <v>3507</v>
      </c>
      <c r="C98" s="0" t="s">
        <v>3508</v>
      </c>
      <c r="D98" s="0" t="s">
        <v>3507</v>
      </c>
      <c r="E98" s="0" t="s">
        <v>3508</v>
      </c>
      <c r="F98" s="0" t="s">
        <v>3295</v>
      </c>
      <c r="G98" s="0" t="s">
        <v>3509</v>
      </c>
    </row>
    <row customHeight="1" ht="11.25">
      <c r="A99" s="0" t="s">
        <v>16</v>
      </c>
      <c r="B99" s="0" t="s">
        <v>3510</v>
      </c>
      <c r="C99" s="0" t="s">
        <v>3511</v>
      </c>
      <c r="D99" s="0" t="s">
        <v>3512</v>
      </c>
      <c r="E99" s="0" t="s">
        <v>3513</v>
      </c>
      <c r="F99" s="0" t="s">
        <v>3307</v>
      </c>
      <c r="G99" s="0" t="s">
        <v>3514</v>
      </c>
    </row>
    <row customHeight="1" ht="11.25">
      <c r="A100" s="0" t="s">
        <v>16</v>
      </c>
      <c r="B100" s="0" t="s">
        <v>3510</v>
      </c>
      <c r="C100" s="0" t="s">
        <v>3511</v>
      </c>
      <c r="D100" s="0" t="s">
        <v>3515</v>
      </c>
      <c r="E100" s="0" t="s">
        <v>3516</v>
      </c>
      <c r="F100" s="0" t="s">
        <v>3307</v>
      </c>
      <c r="G100" s="0" t="s">
        <v>3517</v>
      </c>
    </row>
    <row customHeight="1" ht="11.25">
      <c r="A101" s="0" t="s">
        <v>16</v>
      </c>
      <c r="B101" s="0" t="s">
        <v>3510</v>
      </c>
      <c r="C101" s="0" t="s">
        <v>3511</v>
      </c>
      <c r="D101" s="0" t="s">
        <v>3518</v>
      </c>
      <c r="E101" s="0" t="s">
        <v>3519</v>
      </c>
      <c r="F101" s="0" t="s">
        <v>3307</v>
      </c>
      <c r="G101" s="0" t="s">
        <v>3520</v>
      </c>
    </row>
    <row customHeight="1" ht="11.25">
      <c r="A102" s="0" t="s">
        <v>16</v>
      </c>
      <c r="B102" s="0" t="s">
        <v>3510</v>
      </c>
      <c r="C102" s="0" t="s">
        <v>3511</v>
      </c>
      <c r="D102" s="0" t="s">
        <v>3521</v>
      </c>
      <c r="E102" s="0" t="s">
        <v>3522</v>
      </c>
      <c r="F102" s="0" t="s">
        <v>3307</v>
      </c>
      <c r="G102" s="0" t="s">
        <v>3523</v>
      </c>
    </row>
    <row customHeight="1" ht="11.25">
      <c r="A103" s="0" t="s">
        <v>16</v>
      </c>
      <c r="B103" s="0" t="s">
        <v>3510</v>
      </c>
      <c r="C103" s="0" t="s">
        <v>3511</v>
      </c>
      <c r="D103" s="0" t="s">
        <v>3510</v>
      </c>
      <c r="E103" s="0" t="s">
        <v>3511</v>
      </c>
      <c r="F103" s="0" t="s">
        <v>3308</v>
      </c>
      <c r="G103" s="0" t="s">
        <v>3524</v>
      </c>
    </row>
    <row customHeight="1" ht="11.25">
      <c r="A104" s="0" t="s">
        <v>16</v>
      </c>
      <c r="B104" s="0" t="s">
        <v>3510</v>
      </c>
      <c r="C104" s="0" t="s">
        <v>3511</v>
      </c>
      <c r="D104" s="0" t="s">
        <v>3525</v>
      </c>
      <c r="E104" s="0" t="s">
        <v>3526</v>
      </c>
      <c r="F104" s="0" t="s">
        <v>3307</v>
      </c>
      <c r="G104" s="0" t="s">
        <v>3527</v>
      </c>
    </row>
    <row customHeight="1" ht="11.25">
      <c r="A105" s="0" t="s">
        <v>16</v>
      </c>
      <c r="B105" s="0" t="s">
        <v>3528</v>
      </c>
      <c r="C105" s="0" t="s">
        <v>3529</v>
      </c>
      <c r="D105" s="0" t="s">
        <v>3528</v>
      </c>
      <c r="E105" s="0" t="s">
        <v>3529</v>
      </c>
      <c r="F105" s="0" t="s">
        <v>3298</v>
      </c>
      <c r="G105" s="0" t="s">
        <v>3530</v>
      </c>
    </row>
    <row customHeight="1" ht="11.25">
      <c r="A106" s="0" t="s">
        <v>16</v>
      </c>
      <c r="B106" s="0" t="s">
        <v>132</v>
      </c>
      <c r="C106" s="0" t="s">
        <v>133</v>
      </c>
      <c r="D106" s="0" t="s">
        <v>132</v>
      </c>
      <c r="E106" s="0" t="s">
        <v>133</v>
      </c>
      <c r="F106" s="0" t="s">
        <v>3298</v>
      </c>
      <c r="G106" s="0" t="s">
        <v>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18E26-5761-D963-3254-A8D50F5F5C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764" width="9.140625"/>
    <col min="2" max="2" style="27764" width="84.28125" customWidth="1"/>
    <col min="3" max="3" style="27764" width="9.140625"/>
  </cols>
  <sheetData>
    <row customHeight="1" ht="11.25">
      <c r="A1" s="1176" t="s">
        <v>3562</v>
      </c>
      <c r="B1" s="1176" t="s">
        <v>3563</v>
      </c>
      <c r="C1" s="1176" t="s">
        <v>1284</v>
      </c>
    </row>
    <row customHeight="1" ht="11.25">
      <c r="A2" s="1176">
        <v>4189678</v>
      </c>
      <c r="B2" s="1176" t="s">
        <v>3564</v>
      </c>
      <c r="C2" s="1176" t="s">
        <v>3565</v>
      </c>
    </row>
    <row customHeight="1" ht="11.25">
      <c r="A3" s="1176">
        <v>4190415</v>
      </c>
      <c r="B3" s="1176" t="s">
        <v>3566</v>
      </c>
      <c r="C3" s="1176" t="s">
        <v>3565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B7342-E3EB-8C1B-D1FC-94374FE51C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769" width="38.421875" customWidth="1"/>
    <col min="2" max="5" style="27769" width="9.140625"/>
  </cols>
  <sheetData>
    <row customHeight="1" ht="15">
      <c r="A1" s="504" t="s">
        <v>3567</v>
      </c>
      <c r="B1" s="504" t="s">
        <v>3568</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B76AE-D973-9806-5CA9-EA2855EB18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3569</v>
      </c>
      <c r="B1" s="0" t="b">
        <v>1</v>
      </c>
    </row>
    <row customHeight="1" ht="11.25">
      <c r="A2" s="0" t="s">
        <v>3570</v>
      </c>
      <c r="B2" s="0" t="b">
        <v>0</v>
      </c>
    </row>
    <row customHeight="1" ht="11.25">
      <c r="A3" s="0" t="s">
        <v>3571</v>
      </c>
      <c r="B3" s="0" t="b">
        <v>0</v>
      </c>
    </row>
    <row customHeight="1" ht="11.25">
      <c r="A4" s="0" t="s">
        <v>3572</v>
      </c>
      <c r="B4" s="0" t="b">
        <v>1</v>
      </c>
    </row>
    <row customHeight="1" ht="11.25">
      <c r="A5" s="0" t="s">
        <v>3573</v>
      </c>
      <c r="B5" s="0" t="b">
        <v>0</v>
      </c>
    </row>
    <row customHeight="1" ht="11.25">
      <c r="A6" s="0" t="s">
        <v>3574</v>
      </c>
      <c r="B6" s="0" t="b">
        <v>0</v>
      </c>
    </row>
    <row customHeight="1" ht="11.25">
      <c r="A7" s="0" t="s">
        <v>3575</v>
      </c>
      <c r="B7" s="0" t="b">
        <v>0</v>
      </c>
    </row>
    <row customHeight="1" ht="11.25">
      <c r="A8" s="0" t="s">
        <v>3576</v>
      </c>
      <c r="B8" s="0" t="b">
        <v>0</v>
      </c>
    </row>
    <row customHeight="1" ht="11.25">
      <c r="A9" s="0" t="s">
        <v>3577</v>
      </c>
      <c r="B9" s="0" t="b">
        <v>0</v>
      </c>
    </row>
    <row customHeight="1" ht="11.25">
      <c r="A10" s="0" t="s">
        <v>3578</v>
      </c>
      <c r="B10" s="0" t="b">
        <v>0</v>
      </c>
    </row>
    <row customHeight="1" ht="11.25">
      <c r="A11" s="0" t="s">
        <v>3579</v>
      </c>
      <c r="B11" s="0" t="b">
        <v>0</v>
      </c>
    </row>
    <row customHeight="1" ht="11.25">
      <c r="A12" s="0" t="s">
        <v>3580</v>
      </c>
      <c r="B12" s="0" t="b">
        <v>0</v>
      </c>
    </row>
    <row customHeight="1" ht="11.25">
      <c r="A13" s="0" t="s">
        <v>3581</v>
      </c>
      <c r="B13" s="0" t="b">
        <v>0</v>
      </c>
    </row>
    <row customHeight="1" ht="11.25">
      <c r="A14" s="0" t="s">
        <v>3582</v>
      </c>
      <c r="B14" s="0" t="b">
        <v>1</v>
      </c>
    </row>
    <row customHeight="1" ht="11.25">
      <c r="A15" s="0" t="s">
        <v>3583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7E2E-42CC-E172-FC3F-909BF9839E1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1561"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8B72B-F187-4D78-C8E2-A395404AA8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1748" width="36.28125" customWidth="1"/>
    <col min="2" max="2" style="21748" width="21.140625" customWidth="1"/>
  </cols>
  <sheetData>
    <row customHeight="1" ht="11.25">
      <c r="A1" s="408" t="s">
        <v>3584</v>
      </c>
      <c r="B1" s="408" t="s">
        <v>3585</v>
      </c>
    </row>
    <row customHeight="1" ht="11.25">
      <c r="A2" s="403" t="s">
        <v>3586</v>
      </c>
      <c r="B2" s="403" t="s">
        <v>3587</v>
      </c>
    </row>
    <row customHeight="1" ht="11.25">
      <c r="A3" s="403" t="s">
        <v>3588</v>
      </c>
      <c r="B3" s="403" t="s">
        <v>3589</v>
      </c>
    </row>
    <row customHeight="1" ht="11.25">
      <c r="A4" s="403" t="s">
        <v>3590</v>
      </c>
      <c r="B4" s="403" t="s">
        <v>3591</v>
      </c>
    </row>
    <row customHeight="1" ht="11.25">
      <c r="A5" s="403" t="s">
        <v>3592</v>
      </c>
      <c r="B5" s="403" t="s">
        <v>3593</v>
      </c>
    </row>
    <row customHeight="1" ht="11.25">
      <c r="A6" s="403" t="s">
        <v>3594</v>
      </c>
      <c r="B6" s="403" t="s">
        <v>3595</v>
      </c>
    </row>
    <row customHeight="1" ht="11.25">
      <c r="A7" s="403" t="s">
        <v>3596</v>
      </c>
      <c r="B7" s="403" t="s">
        <v>3597</v>
      </c>
    </row>
    <row customHeight="1" ht="11.25">
      <c r="A8" s="403" t="s">
        <v>3598</v>
      </c>
      <c r="B8" s="403" t="s">
        <v>3599</v>
      </c>
    </row>
    <row customHeight="1" ht="11.25">
      <c r="A9" s="403" t="s">
        <v>3600</v>
      </c>
      <c r="B9" s="403" t="s">
        <v>3601</v>
      </c>
    </row>
    <row customHeight="1" ht="11.25">
      <c r="A10" s="403" t="s">
        <v>3602</v>
      </c>
      <c r="B10" s="403" t="s">
        <v>3603</v>
      </c>
    </row>
    <row customHeight="1" ht="11.25">
      <c r="A11" s="403" t="s">
        <v>3604</v>
      </c>
      <c r="B11" s="403" t="s">
        <v>3605</v>
      </c>
    </row>
    <row customHeight="1" ht="11.25">
      <c r="A12" s="403" t="s">
        <v>3606</v>
      </c>
      <c r="B12" s="403" t="s">
        <v>3607</v>
      </c>
    </row>
    <row customHeight="1" ht="11.25">
      <c r="A13" s="403" t="s">
        <v>3608</v>
      </c>
      <c r="B13" s="403" t="s">
        <v>3609</v>
      </c>
    </row>
    <row customHeight="1" ht="11.25">
      <c r="A14" s="403" t="s">
        <v>3610</v>
      </c>
      <c r="B14" s="403" t="s">
        <v>3611</v>
      </c>
    </row>
    <row customHeight="1" ht="11.25">
      <c r="A15" s="403" t="s">
        <v>3612</v>
      </c>
      <c r="B15" s="403" t="s">
        <v>3613</v>
      </c>
    </row>
    <row customHeight="1" ht="11.25">
      <c r="A16" s="403" t="s">
        <v>3614</v>
      </c>
      <c r="B16" s="403" t="s">
        <v>3615</v>
      </c>
    </row>
    <row customHeight="1" ht="11.25">
      <c r="A17" s="403" t="s">
        <v>3616</v>
      </c>
      <c r="B17" s="403" t="s">
        <v>3617</v>
      </c>
    </row>
    <row customHeight="1" ht="11.25">
      <c r="A18" s="403" t="s">
        <v>3618</v>
      </c>
      <c r="B18" s="403" t="s">
        <v>3619</v>
      </c>
    </row>
    <row customHeight="1" ht="11.25">
      <c r="A19" s="403" t="s">
        <v>3620</v>
      </c>
      <c r="B19" s="403" t="s">
        <v>3621</v>
      </c>
    </row>
    <row customHeight="1" ht="11.25">
      <c r="A20" s="403" t="s">
        <v>3622</v>
      </c>
      <c r="B20" s="403" t="s">
        <v>3623</v>
      </c>
    </row>
    <row customHeight="1" ht="11.25">
      <c r="A21" s="403" t="s">
        <v>3624</v>
      </c>
      <c r="B21" s="403" t="s">
        <v>3625</v>
      </c>
    </row>
    <row customHeight="1" ht="11.25">
      <c r="A22" s="403" t="s">
        <v>3626</v>
      </c>
      <c r="B22" s="403" t="s">
        <v>3627</v>
      </c>
    </row>
    <row customHeight="1" ht="11.25">
      <c r="A23" s="403" t="s">
        <v>3628</v>
      </c>
      <c r="B23" s="403" t="s">
        <v>3629</v>
      </c>
    </row>
    <row customHeight="1" ht="11.25">
      <c r="A24" s="403" t="s">
        <v>3630</v>
      </c>
      <c r="B24" s="403" t="s">
        <v>3631</v>
      </c>
    </row>
    <row customHeight="1" ht="11.25">
      <c r="A25" s="403" t="s">
        <v>3632</v>
      </c>
      <c r="B25" s="403" t="s">
        <v>3633</v>
      </c>
    </row>
    <row customHeight="1" ht="11.25">
      <c r="A26" s="403" t="s">
        <v>3634</v>
      </c>
      <c r="B26" s="403" t="s">
        <v>3635</v>
      </c>
    </row>
    <row customHeight="1" ht="11.25">
      <c r="A27" s="403" t="s">
        <v>3636</v>
      </c>
      <c r="B27" s="403" t="s">
        <v>3637</v>
      </c>
    </row>
    <row customHeight="1" ht="11.25">
      <c r="A28" s="403" t="s">
        <v>3638</v>
      </c>
      <c r="B28" s="403" t="s">
        <v>3639</v>
      </c>
    </row>
    <row customHeight="1" ht="11.25">
      <c r="A29" s="403" t="s">
        <v>3640</v>
      </c>
      <c r="B29" s="403" t="s">
        <v>3641</v>
      </c>
    </row>
    <row customHeight="1" ht="11.25">
      <c r="A30" s="403" t="s">
        <v>3642</v>
      </c>
      <c r="B30" s="403" t="s">
        <v>3643</v>
      </c>
    </row>
    <row customHeight="1" ht="11.25">
      <c r="A31" s="403" t="s">
        <v>3644</v>
      </c>
      <c r="B31" s="403" t="s">
        <v>3645</v>
      </c>
    </row>
    <row customHeight="1" ht="11.25">
      <c r="A32" s="403" t="s">
        <v>3646</v>
      </c>
      <c r="B32" s="403" t="s">
        <v>3647</v>
      </c>
    </row>
    <row customHeight="1" ht="11.25">
      <c r="A33" s="403" t="s">
        <v>3648</v>
      </c>
      <c r="B33" s="403" t="s">
        <v>3649</v>
      </c>
    </row>
    <row customHeight="1" ht="11.25">
      <c r="A34" s="403" t="s">
        <v>3650</v>
      </c>
      <c r="B34" s="403" t="s">
        <v>3651</v>
      </c>
    </row>
    <row customHeight="1" ht="11.25">
      <c r="A35" s="403" t="s">
        <v>3652</v>
      </c>
      <c r="B35" s="403" t="s">
        <v>3653</v>
      </c>
    </row>
    <row customHeight="1" ht="11.25">
      <c r="A36" s="403" t="s">
        <v>3654</v>
      </c>
      <c r="B36" s="403" t="s">
        <v>3655</v>
      </c>
    </row>
    <row customHeight="1" ht="11.25">
      <c r="A37" s="403" t="s">
        <v>3656</v>
      </c>
      <c r="B37" s="403" t="s">
        <v>3657</v>
      </c>
    </row>
    <row customHeight="1" ht="11.25">
      <c r="A38" s="403" t="s">
        <v>3658</v>
      </c>
      <c r="B38" s="403" t="s">
        <v>3659</v>
      </c>
    </row>
    <row customHeight="1" ht="11.25">
      <c r="A39" s="403" t="s">
        <v>3660</v>
      </c>
      <c r="B39" s="403" t="s">
        <v>3661</v>
      </c>
    </row>
    <row customHeight="1" ht="11.25">
      <c r="A40" s="403" t="s">
        <v>3662</v>
      </c>
      <c r="B40" s="403" t="s">
        <v>3663</v>
      </c>
    </row>
    <row customHeight="1" ht="11.25">
      <c r="A41" s="403" t="s">
        <v>3664</v>
      </c>
      <c r="B41" s="403" t="s">
        <v>3665</v>
      </c>
    </row>
    <row customHeight="1" ht="11.25">
      <c r="A42" s="403" t="s">
        <v>3666</v>
      </c>
      <c r="B42" s="403" t="s">
        <v>3667</v>
      </c>
    </row>
    <row customHeight="1" ht="11.25">
      <c r="A43" s="403" t="s">
        <v>3668</v>
      </c>
      <c r="B43" s="403" t="s">
        <v>3669</v>
      </c>
    </row>
    <row customHeight="1" ht="11.25">
      <c r="A44" s="403" t="s">
        <v>3670</v>
      </c>
      <c r="B44" s="403" t="s">
        <v>3671</v>
      </c>
    </row>
    <row customHeight="1" ht="11.25">
      <c r="A45" s="403" t="s">
        <v>3672</v>
      </c>
      <c r="B45" s="403" t="s">
        <v>3673</v>
      </c>
    </row>
    <row customHeight="1" ht="11.25">
      <c r="A46" s="403" t="s">
        <v>3674</v>
      </c>
      <c r="B46" s="403" t="s">
        <v>3675</v>
      </c>
    </row>
    <row customHeight="1" ht="11.25">
      <c r="A47" s="403" t="s">
        <v>3676</v>
      </c>
      <c r="B47" s="403" t="s">
        <v>3677</v>
      </c>
    </row>
    <row customHeight="1" ht="11.25">
      <c r="A48" s="403" t="s">
        <v>3678</v>
      </c>
      <c r="B48" s="403" t="s">
        <v>3679</v>
      </c>
    </row>
    <row customHeight="1" ht="11.25">
      <c r="A49" s="403" t="s">
        <v>3680</v>
      </c>
      <c r="B49" s="403" t="s">
        <v>3681</v>
      </c>
    </row>
    <row customHeight="1" ht="11.25">
      <c r="A50" s="403" t="s">
        <v>3682</v>
      </c>
      <c r="B50" s="403" t="s">
        <v>3683</v>
      </c>
    </row>
    <row customHeight="1" ht="11.25">
      <c r="A51" s="403" t="s">
        <v>3684</v>
      </c>
      <c r="B51" s="403" t="s">
        <v>3685</v>
      </c>
    </row>
    <row customHeight="1" ht="11.25">
      <c r="A52" s="403" t="s">
        <v>3686</v>
      </c>
      <c r="B52" s="403" t="s">
        <v>3687</v>
      </c>
    </row>
    <row customHeight="1" ht="11.25">
      <c r="A53" s="403" t="s">
        <v>3688</v>
      </c>
      <c r="B53" s="403" t="s">
        <v>3689</v>
      </c>
    </row>
    <row customHeight="1" ht="11.25">
      <c r="A54" s="403" t="s">
        <v>3690</v>
      </c>
      <c r="B54" s="403" t="s">
        <v>3691</v>
      </c>
    </row>
    <row customHeight="1" ht="11.25">
      <c r="A55" s="403" t="s">
        <v>3692</v>
      </c>
      <c r="B55" s="403" t="s">
        <v>3693</v>
      </c>
    </row>
    <row customHeight="1" ht="11.25">
      <c r="A56" s="403" t="s">
        <v>3694</v>
      </c>
      <c r="B56" s="403" t="s">
        <v>3695</v>
      </c>
    </row>
    <row customHeight="1" ht="11.25">
      <c r="A57" s="403" t="s">
        <v>3696</v>
      </c>
      <c r="B57" s="403" t="s">
        <v>3697</v>
      </c>
    </row>
    <row customHeight="1" ht="11.25">
      <c r="A58" s="403" t="s">
        <v>3698</v>
      </c>
      <c r="B58" s="403" t="s">
        <v>3699</v>
      </c>
    </row>
    <row customHeight="1" ht="11.25">
      <c r="A59" s="403" t="s">
        <v>3700</v>
      </c>
      <c r="B59" s="403" t="s">
        <v>3701</v>
      </c>
    </row>
    <row customHeight="1" ht="11.25">
      <c r="A60" s="403" t="s">
        <v>3702</v>
      </c>
      <c r="B60" s="403" t="s">
        <v>3703</v>
      </c>
    </row>
    <row customHeight="1" ht="11.25">
      <c r="A61" s="403"/>
      <c r="B61" s="403" t="s">
        <v>3704</v>
      </c>
    </row>
    <row customHeight="1" ht="11.25">
      <c r="A62" s="403"/>
      <c r="B62" s="403" t="s">
        <v>3705</v>
      </c>
    </row>
    <row customHeight="1" ht="11.25">
      <c r="A63" s="403"/>
      <c r="B63" s="403" t="s">
        <v>3706</v>
      </c>
    </row>
    <row customHeight="1" ht="11.25">
      <c r="A64" s="403"/>
      <c r="B64" s="403" t="s">
        <v>3707</v>
      </c>
    </row>
    <row customHeight="1" ht="11.25">
      <c r="A65" s="403"/>
      <c r="B65" s="403" t="s">
        <v>3708</v>
      </c>
    </row>
    <row customHeight="1" ht="11.25">
      <c r="A66" s="403"/>
      <c r="B66" s="403" t="s">
        <v>3709</v>
      </c>
    </row>
    <row customHeight="1" ht="11.25">
      <c r="A67" s="403"/>
      <c r="B67" s="403" t="s">
        <v>3710</v>
      </c>
    </row>
    <row customHeight="1" ht="11.25">
      <c r="A68" s="403"/>
      <c r="B68" s="403" t="s">
        <v>3711</v>
      </c>
    </row>
    <row customHeight="1" ht="11.25">
      <c r="A69" s="403"/>
      <c r="B69" s="403" t="s">
        <v>3712</v>
      </c>
    </row>
    <row customHeight="1" ht="11.25">
      <c r="A70" s="403"/>
      <c r="B70" s="403" t="s">
        <v>3713</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773B7-7CAD-785D-31FD-5063C23F4E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1748" width="3.7109375" customWidth="1"/>
    <col min="2" max="2" style="21748" width="90.7109375" customWidth="1"/>
    <col min="3" max="4" style="21748" width="9.140625"/>
  </cols>
  <sheetData>
    <row customHeight="1" ht="11.25">
      <c r="B1" s="434" t="s">
        <v>3714</v>
      </c>
    </row>
    <row customHeight="1" ht="90">
      <c r="B2" s="435" t="s">
        <v>3715</v>
      </c>
    </row>
    <row customHeight="1" ht="67.5">
      <c r="B3" s="435" t="s">
        <v>3716</v>
      </c>
    </row>
    <row customHeight="1" ht="33.75">
      <c r="B4" s="435" t="s">
        <v>3717</v>
      </c>
    </row>
    <row customHeight="1" ht="11.25">
      <c r="B5" s="435" t="s">
        <v>3718</v>
      </c>
    </row>
    <row customHeight="1" ht="22.5">
      <c r="B6" s="435" t="s">
        <v>3719</v>
      </c>
    </row>
    <row customHeight="1" ht="22.5">
      <c r="B7" s="435" t="s">
        <v>3720</v>
      </c>
    </row>
    <row customHeight="1" ht="22.5">
      <c r="B8" s="435" t="s">
        <v>3721</v>
      </c>
    </row>
    <row customHeight="1" ht="22.5">
      <c r="B9" s="435" t="s">
        <v>3722</v>
      </c>
    </row>
    <row customHeight="1" ht="56.25">
      <c r="B10" s="435" t="s">
        <v>3723</v>
      </c>
    </row>
    <row customHeight="1" ht="12.75">
      <c r="B11" s="500" t="s">
        <v>3724</v>
      </c>
    </row>
    <row customHeight="1" ht="11.25">
      <c r="B12" s="434" t="s">
        <v>3725</v>
      </c>
    </row>
    <row customHeight="1" ht="22.5">
      <c r="B13" s="435" t="s">
        <v>3726</v>
      </c>
    </row>
    <row customHeight="1" ht="67.5">
      <c r="B14" s="435" t="s">
        <v>3727</v>
      </c>
    </row>
    <row customHeight="1" ht="22.5">
      <c r="B15" s="435" t="s">
        <v>3728</v>
      </c>
    </row>
    <row customHeight="1" ht="11.25">
      <c r="B16" s="434" t="s">
        <v>3729</v>
      </c>
      <c r="D16" s="441"/>
    </row>
    <row customHeight="1" ht="33.75">
      <c r="B17" s="435" t="s">
        <v>3730</v>
      </c>
    </row>
    <row customHeight="1" ht="33.75">
      <c r="B18" s="435" t="s">
        <v>3731</v>
      </c>
    </row>
    <row customHeight="1" ht="11.25">
      <c r="B19" s="435" t="s">
        <v>3732</v>
      </c>
    </row>
    <row customHeight="1" ht="33.75">
      <c r="B20" s="435" t="s">
        <v>3733</v>
      </c>
    </row>
    <row customHeight="1" ht="11.25">
      <c r="B21" s="434" t="s">
        <v>3734</v>
      </c>
    </row>
    <row customHeight="1" ht="11.25">
      <c r="B22" s="435" t="s">
        <v>3735</v>
      </c>
    </row>
    <row r="24" customHeight="1" ht="22.5">
      <c r="B24" s="502" t="s">
        <v>3736</v>
      </c>
    </row>
    <row r="26" customHeight="1" ht="11.25">
      <c r="B26" s="434" t="s">
        <v>3737</v>
      </c>
    </row>
    <row customHeight="1" ht="22.5">
      <c r="B27" s="501" t="s">
        <v>510</v>
      </c>
    </row>
    <row customHeight="1" ht="56.25">
      <c r="B28" s="501" t="s">
        <v>3738</v>
      </c>
    </row>
    <row customHeight="1" ht="11.25">
      <c r="B29" s="551" t="s">
        <v>3739</v>
      </c>
    </row>
    <row customHeight="1" ht="22.5">
      <c r="B30" s="501" t="s">
        <v>3740</v>
      </c>
    </row>
    <row r="32" customHeight="1" ht="11.25">
      <c r="A32" s="529"/>
      <c r="B32" s="530" t="s">
        <v>3741</v>
      </c>
    </row>
    <row customHeight="1" ht="14.25">
      <c r="A33" s="531">
        <v>1</v>
      </c>
      <c r="B33" s="532" t="s">
        <v>3742</v>
      </c>
    </row>
    <row customHeight="1" ht="14.25">
      <c r="A34" s="531">
        <v>2</v>
      </c>
      <c r="B34" s="532" t="s">
        <v>3743</v>
      </c>
    </row>
    <row customHeight="1" ht="11.25">
      <c r="B35" s="530" t="s">
        <v>3744</v>
      </c>
    </row>
    <row customHeight="1" ht="11.25">
      <c r="B36" s="532" t="s">
        <v>3745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